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3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embeddings/oleObject9.bin" ContentType="application/vnd.openxmlformats-officedocument.oleObject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6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drawings/drawing10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embeddings/oleObject55.bin" ContentType="application/vnd.openxmlformats-officedocument.oleObject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iCloudDrive\EBS\PersNatu\0. TEMAS ACTUALIZADOS DE INGENIERÍA ELÉCTRICA DE POTENCIA\Versión EBS Web\Excel\"/>
    </mc:Choice>
  </mc:AlternateContent>
  <xr:revisionPtr revIDLastSave="0" documentId="13_ncr:1_{F882234B-85E0-4C8A-9819-13C0532FEFF5}" xr6:coauthVersionLast="43" xr6:coauthVersionMax="43" xr10:uidLastSave="{00000000-0000-0000-0000-000000000000}"/>
  <bookViews>
    <workbookView xWindow="-120" yWindow="-120" windowWidth="20730" windowHeight="11160" tabRatio="733" firstSheet="7" activeTab="12" xr2:uid="{00000000-000D-0000-FFFF-FFFF00000000}"/>
  </bookViews>
  <sheets>
    <sheet name="Curvas de carga" sheetId="1" r:id="rId1"/>
    <sheet name="Temperatura del sol" sheetId="2" r:id="rId2"/>
    <sheet name="Función Trabajo" sheetId="5" r:id="rId3"/>
    <sheet name="Combustión hidrocarburos" sheetId="4" r:id="rId4"/>
    <sheet name="Caudal Río Lauca" sheetId="8" r:id="rId5"/>
    <sheet name="Milla naútica" sheetId="7" r:id="rId6"/>
    <sheet name="Velocidad viento según altura" sheetId="9" r:id="rId7"/>
    <sheet name="Velocidad según altura (2)" sheetId="11" r:id="rId8"/>
    <sheet name="ejercicio Casa de Pesca" sheetId="12" r:id="rId9"/>
    <sheet name="Minicentral en canal" sheetId="3" r:id="rId10"/>
    <sheet name="Irradiancia solar" sheetId="17" r:id="rId11"/>
    <sheet name="Betz" sheetId="19" r:id="rId12"/>
    <sheet name="Frecuencia umbral" sheetId="20" r:id="rId13"/>
  </sheets>
  <externalReferences>
    <externalReference r:id="rId14"/>
  </externalReferences>
  <definedNames>
    <definedName name="_xlnm.Print_Area" localSheetId="4">'Caudal Río Lauca'!$A$1:$N$43</definedName>
    <definedName name="_xlnm.Print_Area" localSheetId="8">'ejercicio Casa de Pesca'!$A$1:$AL$42</definedName>
    <definedName name="_xlnm.Print_Area" localSheetId="7">'Velocidad según altura (2)'!$A$1:$O$39</definedName>
    <definedName name="_xlnm.Print_Area" localSheetId="6">'Velocidad viento según altura'!$A$1:$O$56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3" i="1"/>
  <c r="D3" i="1"/>
  <c r="S13" i="9" l="1"/>
  <c r="S4" i="9"/>
  <c r="C18" i="20"/>
  <c r="D4" i="20"/>
  <c r="D3" i="20"/>
  <c r="D2" i="20"/>
  <c r="C17" i="20"/>
  <c r="D17" i="20" s="1"/>
  <c r="C16" i="20"/>
  <c r="C15" i="20"/>
  <c r="C14" i="20"/>
  <c r="D14" i="20" s="1"/>
  <c r="C13" i="20"/>
  <c r="C12" i="20"/>
  <c r="C11" i="20"/>
  <c r="D11" i="20" s="1"/>
  <c r="H3" i="3"/>
  <c r="H6" i="3" s="1"/>
  <c r="H13" i="3" s="1"/>
  <c r="H16" i="3" s="1"/>
  <c r="M2" i="3" s="1"/>
  <c r="M4" i="3" s="1"/>
  <c r="E49" i="19"/>
  <c r="E25" i="19"/>
  <c r="C4" i="19"/>
  <c r="F7" i="19" s="1"/>
  <c r="C24" i="19"/>
  <c r="D24" i="19" s="1"/>
  <c r="E4" i="19"/>
  <c r="E57" i="19" s="1"/>
  <c r="D7" i="19"/>
  <c r="C8" i="19"/>
  <c r="C9" i="19" s="1"/>
  <c r="D9" i="19" s="1"/>
  <c r="F9" i="17"/>
  <c r="E26" i="17" s="1"/>
  <c r="F23" i="17"/>
  <c r="F24" i="17" s="1"/>
  <c r="L8" i="17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F12" i="17"/>
  <c r="F11" i="17"/>
  <c r="F14" i="17" s="1"/>
  <c r="J7" i="17"/>
  <c r="E7" i="19" l="1"/>
  <c r="E31" i="19"/>
  <c r="E58" i="19"/>
  <c r="E13" i="19"/>
  <c r="E37" i="19"/>
  <c r="E19" i="19"/>
  <c r="E43" i="19"/>
  <c r="E10" i="19"/>
  <c r="E16" i="19"/>
  <c r="E22" i="19"/>
  <c r="E28" i="19"/>
  <c r="E34" i="19"/>
  <c r="E40" i="19"/>
  <c r="E46" i="19"/>
  <c r="E52" i="19"/>
  <c r="E8" i="19"/>
  <c r="E14" i="19"/>
  <c r="E20" i="19"/>
  <c r="E26" i="19"/>
  <c r="E32" i="19"/>
  <c r="E38" i="19"/>
  <c r="E44" i="19"/>
  <c r="E50" i="19"/>
  <c r="E11" i="19"/>
  <c r="E17" i="19"/>
  <c r="E23" i="19"/>
  <c r="E29" i="19"/>
  <c r="E35" i="19"/>
  <c r="E41" i="19"/>
  <c r="E47" i="19"/>
  <c r="E55" i="19"/>
  <c r="E53" i="19"/>
  <c r="E56" i="19"/>
  <c r="F9" i="19"/>
  <c r="F24" i="19"/>
  <c r="E9" i="19"/>
  <c r="E12" i="19"/>
  <c r="E15" i="19"/>
  <c r="E18" i="19"/>
  <c r="E21" i="19"/>
  <c r="E24" i="19"/>
  <c r="E27" i="19"/>
  <c r="E30" i="19"/>
  <c r="E33" i="19"/>
  <c r="E36" i="19"/>
  <c r="E39" i="19"/>
  <c r="E42" i="19"/>
  <c r="E45" i="19"/>
  <c r="E48" i="19"/>
  <c r="E51" i="19"/>
  <c r="E54" i="19"/>
  <c r="F8" i="19"/>
  <c r="D13" i="20"/>
  <c r="D16" i="20"/>
  <c r="E12" i="20"/>
  <c r="F12" i="20" s="1"/>
  <c r="E15" i="20"/>
  <c r="F15" i="20" s="1"/>
  <c r="E11" i="20"/>
  <c r="F11" i="20" s="1"/>
  <c r="E17" i="20"/>
  <c r="E14" i="20"/>
  <c r="F14" i="20" s="1"/>
  <c r="E16" i="20"/>
  <c r="F16" i="20" s="1"/>
  <c r="D12" i="20"/>
  <c r="D15" i="20"/>
  <c r="D18" i="20"/>
  <c r="E13" i="20"/>
  <c r="F13" i="20" s="1"/>
  <c r="F17" i="20"/>
  <c r="E18" i="20"/>
  <c r="F18" i="20" s="1"/>
  <c r="H10" i="3"/>
  <c r="M6" i="3" s="1"/>
  <c r="M8" i="3" s="1"/>
  <c r="M11" i="3" s="1"/>
  <c r="M14" i="3" s="1"/>
  <c r="D8" i="19"/>
  <c r="C10" i="19"/>
  <c r="J29" i="17"/>
  <c r="L30" i="17"/>
  <c r="J28" i="17"/>
  <c r="M28" i="17" s="1"/>
  <c r="F16" i="17"/>
  <c r="J9" i="17"/>
  <c r="J8" i="17"/>
  <c r="M8" i="17" s="1"/>
  <c r="M9" i="17" l="1"/>
  <c r="M29" i="17"/>
  <c r="D10" i="19"/>
  <c r="F10" i="19"/>
  <c r="C11" i="19"/>
  <c r="J30" i="17"/>
  <c r="M30" i="17" s="1"/>
  <c r="L31" i="17"/>
  <c r="J10" i="17"/>
  <c r="M10" i="17" s="1"/>
  <c r="H8" i="3"/>
  <c r="M17" i="3" s="1"/>
  <c r="F68" i="12"/>
  <c r="G68" i="12" s="1"/>
  <c r="H68" i="12" s="1"/>
  <c r="I68" i="12" s="1"/>
  <c r="J68" i="12" s="1"/>
  <c r="K68" i="12" s="1"/>
  <c r="L68" i="12" s="1"/>
  <c r="M68" i="12" s="1"/>
  <c r="N68" i="12" s="1"/>
  <c r="O68" i="12" s="1"/>
  <c r="P68" i="12" s="1"/>
  <c r="E72" i="12" s="1"/>
  <c r="F72" i="12" s="1"/>
  <c r="G72" i="12" s="1"/>
  <c r="H72" i="12" s="1"/>
  <c r="I72" i="12" s="1"/>
  <c r="J72" i="12" s="1"/>
  <c r="K72" i="12" s="1"/>
  <c r="L72" i="12" s="1"/>
  <c r="M72" i="12" s="1"/>
  <c r="N72" i="12" s="1"/>
  <c r="O72" i="12" s="1"/>
  <c r="P72" i="12" s="1"/>
  <c r="V14" i="12"/>
  <c r="F49" i="12"/>
  <c r="G49" i="12" s="1"/>
  <c r="H49" i="12" s="1"/>
  <c r="I49" i="12" s="1"/>
  <c r="J49" i="12" s="1"/>
  <c r="K49" i="12" s="1"/>
  <c r="L49" i="12" s="1"/>
  <c r="M49" i="12" s="1"/>
  <c r="N49" i="12" s="1"/>
  <c r="O49" i="12" s="1"/>
  <c r="P49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O42" i="12"/>
  <c r="O41" i="12"/>
  <c r="O13" i="12"/>
  <c r="O9" i="12" s="1"/>
  <c r="O10" i="12" s="1"/>
  <c r="S7" i="12"/>
  <c r="S8" i="12" s="1"/>
  <c r="S9" i="12" s="1"/>
  <c r="S10" i="12" s="1"/>
  <c r="S11" i="12" s="1"/>
  <c r="S12" i="12" s="1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D11" i="19" l="1"/>
  <c r="F11" i="19"/>
  <c r="C12" i="19"/>
  <c r="L32" i="17"/>
  <c r="J31" i="17"/>
  <c r="M31" i="17" s="1"/>
  <c r="J11" i="17"/>
  <c r="M11" i="17" s="1"/>
  <c r="E9" i="12"/>
  <c r="H9" i="12"/>
  <c r="H10" i="12" s="1"/>
  <c r="K9" i="12"/>
  <c r="K10" i="12" s="1"/>
  <c r="N9" i="12"/>
  <c r="N10" i="12" s="1"/>
  <c r="D3" i="12"/>
  <c r="D61" i="12" s="1"/>
  <c r="G9" i="12"/>
  <c r="G10" i="12" s="1"/>
  <c r="J9" i="12"/>
  <c r="J10" i="12" s="1"/>
  <c r="M9" i="12"/>
  <c r="M10" i="12" s="1"/>
  <c r="P9" i="12"/>
  <c r="P10" i="12" s="1"/>
  <c r="F9" i="12"/>
  <c r="F10" i="12" s="1"/>
  <c r="I9" i="12"/>
  <c r="I10" i="12" s="1"/>
  <c r="L9" i="12"/>
  <c r="L10" i="12" s="1"/>
  <c r="O44" i="12"/>
  <c r="C43" i="12" s="1"/>
  <c r="E10" i="12"/>
  <c r="D12" i="19" l="1"/>
  <c r="F12" i="19"/>
  <c r="C13" i="19"/>
  <c r="J32" i="17"/>
  <c r="M32" i="17" s="1"/>
  <c r="L33" i="17"/>
  <c r="J12" i="17"/>
  <c r="M12" i="17" s="1"/>
  <c r="O74" i="12"/>
  <c r="O75" i="12" s="1"/>
  <c r="L74" i="12"/>
  <c r="L75" i="12" s="1"/>
  <c r="I74" i="12"/>
  <c r="I75" i="12" s="1"/>
  <c r="F74" i="12"/>
  <c r="F75" i="12" s="1"/>
  <c r="O70" i="12"/>
  <c r="O71" i="12" s="1"/>
  <c r="I70" i="12"/>
  <c r="I71" i="12" s="1"/>
  <c r="N63" i="12"/>
  <c r="N64" i="12" s="1"/>
  <c r="O63" i="12"/>
  <c r="O64" i="12" s="1"/>
  <c r="L63" i="12"/>
  <c r="L64" i="12" s="1"/>
  <c r="I63" i="12"/>
  <c r="I64" i="12" s="1"/>
  <c r="F63" i="12"/>
  <c r="F64" i="12" s="1"/>
  <c r="P74" i="12"/>
  <c r="P75" i="12" s="1"/>
  <c r="M74" i="12"/>
  <c r="M75" i="12" s="1"/>
  <c r="J74" i="12"/>
  <c r="J75" i="12" s="1"/>
  <c r="G74" i="12"/>
  <c r="G75" i="12" s="1"/>
  <c r="P70" i="12"/>
  <c r="P71" i="12" s="1"/>
  <c r="M70" i="12"/>
  <c r="M71" i="12" s="1"/>
  <c r="J70" i="12"/>
  <c r="J71" i="12" s="1"/>
  <c r="G70" i="12"/>
  <c r="G71" i="12" s="1"/>
  <c r="N74" i="12"/>
  <c r="N75" i="12" s="1"/>
  <c r="K74" i="12"/>
  <c r="K75" i="12" s="1"/>
  <c r="H74" i="12"/>
  <c r="H75" i="12" s="1"/>
  <c r="E74" i="12"/>
  <c r="N70" i="12"/>
  <c r="N71" i="12" s="1"/>
  <c r="K70" i="12"/>
  <c r="K71" i="12" s="1"/>
  <c r="H70" i="12"/>
  <c r="H71" i="12" s="1"/>
  <c r="E70" i="12"/>
  <c r="P63" i="12"/>
  <c r="P64" i="12" s="1"/>
  <c r="M63" i="12"/>
  <c r="M64" i="12" s="1"/>
  <c r="J63" i="12"/>
  <c r="J64" i="12" s="1"/>
  <c r="G63" i="12"/>
  <c r="G64" i="12" s="1"/>
  <c r="L70" i="12"/>
  <c r="L71" i="12" s="1"/>
  <c r="F70" i="12"/>
  <c r="F71" i="12" s="1"/>
  <c r="K63" i="12"/>
  <c r="K64" i="12" s="1"/>
  <c r="H63" i="12"/>
  <c r="H64" i="12" s="1"/>
  <c r="E63" i="12"/>
  <c r="O17" i="12"/>
  <c r="D9" i="12" s="1"/>
  <c r="O21" i="12"/>
  <c r="D10" i="12" s="1"/>
  <c r="D13" i="19" l="1"/>
  <c r="F13" i="19"/>
  <c r="C14" i="19"/>
  <c r="J33" i="17"/>
  <c r="M33" i="17" s="1"/>
  <c r="L34" i="17"/>
  <c r="J13" i="17"/>
  <c r="M13" i="17" s="1"/>
  <c r="D63" i="12"/>
  <c r="E64" i="12"/>
  <c r="D64" i="12" s="1"/>
  <c r="D70" i="12"/>
  <c r="D74" i="12" s="1"/>
  <c r="E71" i="12"/>
  <c r="D71" i="12" s="1"/>
  <c r="E75" i="12"/>
  <c r="O28" i="12"/>
  <c r="K35" i="12" s="1"/>
  <c r="D14" i="19" l="1"/>
  <c r="F14" i="19"/>
  <c r="C15" i="19"/>
  <c r="L35" i="17"/>
  <c r="J34" i="17"/>
  <c r="M34" i="17" s="1"/>
  <c r="J14" i="17"/>
  <c r="M14" i="17" s="1"/>
  <c r="Q64" i="12"/>
  <c r="D75" i="12"/>
  <c r="Q75" i="12" s="1"/>
  <c r="S35" i="12"/>
  <c r="A56" i="11"/>
  <c r="B56" i="11" s="1"/>
  <c r="I50" i="11"/>
  <c r="I49" i="11"/>
  <c r="J44" i="11"/>
  <c r="J47" i="11" s="1"/>
  <c r="J43" i="11"/>
  <c r="J46" i="11" s="1"/>
  <c r="F53" i="11"/>
  <c r="C30" i="11"/>
  <c r="K44" i="11" s="1"/>
  <c r="J50" i="11" s="1"/>
  <c r="C29" i="11"/>
  <c r="K43" i="11" s="1"/>
  <c r="C28" i="11"/>
  <c r="E53" i="11" s="1"/>
  <c r="A50" i="11"/>
  <c r="A49" i="11"/>
  <c r="B45" i="11"/>
  <c r="B47" i="11" s="1"/>
  <c r="B44" i="11"/>
  <c r="B46" i="11" s="1"/>
  <c r="I55" i="11"/>
  <c r="N55" i="11" s="1"/>
  <c r="B55" i="11"/>
  <c r="D53" i="11"/>
  <c r="C25" i="11"/>
  <c r="C45" i="11" s="1"/>
  <c r="C24" i="11"/>
  <c r="C44" i="11" s="1"/>
  <c r="B49" i="11" s="1"/>
  <c r="C23" i="11"/>
  <c r="C53" i="11" s="1"/>
  <c r="D19" i="11"/>
  <c r="H14" i="11" s="1"/>
  <c r="N11" i="11"/>
  <c r="N10" i="11"/>
  <c r="F47" i="9"/>
  <c r="F48" i="9" s="1"/>
  <c r="F49" i="9" s="1"/>
  <c r="F50" i="9" s="1"/>
  <c r="F51" i="9" s="1"/>
  <c r="F52" i="9" s="1"/>
  <c r="F53" i="9" s="1"/>
  <c r="F54" i="9" s="1"/>
  <c r="F55" i="9" s="1"/>
  <c r="I44" i="9"/>
  <c r="G46" i="9"/>
  <c r="B50" i="9"/>
  <c r="B49" i="9"/>
  <c r="B52" i="9" s="1"/>
  <c r="A56" i="9"/>
  <c r="A55" i="9"/>
  <c r="B53" i="9"/>
  <c r="E49" i="9"/>
  <c r="L46" i="9"/>
  <c r="I22" i="9"/>
  <c r="L24" i="9"/>
  <c r="G24" i="9"/>
  <c r="F25" i="9"/>
  <c r="L25" i="9" s="1"/>
  <c r="B28" i="9"/>
  <c r="B31" i="9" s="1"/>
  <c r="B27" i="9"/>
  <c r="A34" i="9"/>
  <c r="A33" i="9"/>
  <c r="C18" i="9"/>
  <c r="C28" i="9" s="1"/>
  <c r="C17" i="9"/>
  <c r="C27" i="9" s="1"/>
  <c r="A30" i="9" s="1"/>
  <c r="C40" i="9"/>
  <c r="C50" i="9" s="1"/>
  <c r="B56" i="9" s="1"/>
  <c r="C39" i="9"/>
  <c r="C49" i="9" s="1"/>
  <c r="C16" i="9"/>
  <c r="H22" i="9" s="1"/>
  <c r="C38" i="9"/>
  <c r="H44" i="9" s="1"/>
  <c r="D11" i="9"/>
  <c r="H9" i="9" s="1"/>
  <c r="M4" i="9"/>
  <c r="M3" i="9"/>
  <c r="Q1" i="8"/>
  <c r="F42" i="8"/>
  <c r="E40" i="8"/>
  <c r="G40" i="8" s="1"/>
  <c r="K40" i="8" s="1"/>
  <c r="E39" i="8"/>
  <c r="G39" i="8" s="1"/>
  <c r="K39" i="8" s="1"/>
  <c r="E38" i="8"/>
  <c r="G38" i="8" s="1"/>
  <c r="K38" i="8" s="1"/>
  <c r="E37" i="8"/>
  <c r="G37" i="8" s="1"/>
  <c r="K37" i="8" s="1"/>
  <c r="E36" i="8"/>
  <c r="G36" i="8" s="1"/>
  <c r="K36" i="8" s="1"/>
  <c r="E35" i="8"/>
  <c r="G35" i="8" s="1"/>
  <c r="K35" i="8" s="1"/>
  <c r="E34" i="8"/>
  <c r="G34" i="8" s="1"/>
  <c r="K34" i="8" s="1"/>
  <c r="E33" i="8"/>
  <c r="G33" i="8" s="1"/>
  <c r="K33" i="8" s="1"/>
  <c r="E32" i="8"/>
  <c r="G32" i="8" s="1"/>
  <c r="K32" i="8" s="1"/>
  <c r="E31" i="8"/>
  <c r="G31" i="8" s="1"/>
  <c r="K31" i="8" s="1"/>
  <c r="E30" i="8"/>
  <c r="G30" i="8" s="1"/>
  <c r="K30" i="8" s="1"/>
  <c r="E29" i="8"/>
  <c r="G29" i="8" s="1"/>
  <c r="K29" i="8" s="1"/>
  <c r="AB46" i="8"/>
  <c r="AA46" i="8"/>
  <c r="Z46" i="8"/>
  <c r="Y46" i="8"/>
  <c r="X46" i="8"/>
  <c r="W46" i="8"/>
  <c r="V46" i="8"/>
  <c r="U46" i="8"/>
  <c r="T46" i="8"/>
  <c r="S46" i="8"/>
  <c r="AB45" i="8"/>
  <c r="AA45" i="8"/>
  <c r="Z45" i="8"/>
  <c r="Y45" i="8"/>
  <c r="X45" i="8"/>
  <c r="W45" i="8"/>
  <c r="V45" i="8"/>
  <c r="U45" i="8"/>
  <c r="T45" i="8"/>
  <c r="S45" i="8"/>
  <c r="AC43" i="8"/>
  <c r="AC42" i="8"/>
  <c r="AC41" i="8"/>
  <c r="AC40" i="8"/>
  <c r="AC39" i="8"/>
  <c r="AC38" i="8"/>
  <c r="AC37" i="8"/>
  <c r="AC36" i="8"/>
  <c r="AC35" i="8"/>
  <c r="AC34" i="8"/>
  <c r="AC33" i="8"/>
  <c r="S30" i="8"/>
  <c r="AB30" i="8"/>
  <c r="AC30" i="8"/>
  <c r="AA30" i="8"/>
  <c r="Z30" i="8"/>
  <c r="Y30" i="8"/>
  <c r="X30" i="8"/>
  <c r="W30" i="8"/>
  <c r="V30" i="8"/>
  <c r="U30" i="8"/>
  <c r="T30" i="8"/>
  <c r="R30" i="8"/>
  <c r="AD29" i="8"/>
  <c r="AD28" i="8"/>
  <c r="AD27" i="8"/>
  <c r="AD26" i="8"/>
  <c r="AD25" i="8"/>
  <c r="AD24" i="8"/>
  <c r="AD23" i="8"/>
  <c r="AD22" i="8"/>
  <c r="AD21" i="8"/>
  <c r="AD20" i="8"/>
  <c r="N8" i="8"/>
  <c r="N13" i="8"/>
  <c r="N12" i="8"/>
  <c r="N11" i="8"/>
  <c r="N10" i="8"/>
  <c r="N7" i="8"/>
  <c r="N6" i="8"/>
  <c r="N5" i="8"/>
  <c r="N4" i="8"/>
  <c r="A5" i="8"/>
  <c r="A6" i="8" s="1"/>
  <c r="A7" i="8" s="1"/>
  <c r="A8" i="8" s="1"/>
  <c r="A9" i="8" s="1"/>
  <c r="A10" i="8" s="1"/>
  <c r="A11" i="8" s="1"/>
  <c r="A12" i="8" s="1"/>
  <c r="A13" i="8" s="1"/>
  <c r="C19" i="7"/>
  <c r="D19" i="7" s="1"/>
  <c r="C9" i="7"/>
  <c r="F7" i="7"/>
  <c r="C11" i="7"/>
  <c r="D11" i="7" s="1"/>
  <c r="B12" i="7"/>
  <c r="B13" i="7" s="1"/>
  <c r="P17" i="5"/>
  <c r="Q17" i="5" s="1"/>
  <c r="N13" i="5"/>
  <c r="P23" i="5"/>
  <c r="Q23" i="5" s="1"/>
  <c r="P21" i="5"/>
  <c r="Q21" i="5" s="1"/>
  <c r="P20" i="5"/>
  <c r="Q20" i="5" s="1"/>
  <c r="P18" i="5"/>
  <c r="Q18" i="5" s="1"/>
  <c r="N12" i="5"/>
  <c r="N30" i="5"/>
  <c r="M29" i="5"/>
  <c r="L23" i="5"/>
  <c r="K26" i="5"/>
  <c r="J26" i="5"/>
  <c r="I25" i="5"/>
  <c r="N18" i="5"/>
  <c r="N17" i="5"/>
  <c r="N16" i="5"/>
  <c r="N15" i="5"/>
  <c r="N14" i="5"/>
  <c r="N11" i="5"/>
  <c r="Q11" i="5" s="1"/>
  <c r="N10" i="5"/>
  <c r="N9" i="5"/>
  <c r="N8" i="5"/>
  <c r="M33" i="5"/>
  <c r="K33" i="5"/>
  <c r="M32" i="5"/>
  <c r="K32" i="5"/>
  <c r="N31" i="5"/>
  <c r="M31" i="5"/>
  <c r="K31" i="5"/>
  <c r="J31" i="5"/>
  <c r="M30" i="5"/>
  <c r="K30" i="5"/>
  <c r="J30" i="5"/>
  <c r="N29" i="5"/>
  <c r="K29" i="5"/>
  <c r="J29" i="5"/>
  <c r="I29" i="5"/>
  <c r="N28" i="5"/>
  <c r="M28" i="5"/>
  <c r="K28" i="5"/>
  <c r="J28" i="5"/>
  <c r="I28" i="5"/>
  <c r="N27" i="5"/>
  <c r="M27" i="5"/>
  <c r="K27" i="5"/>
  <c r="J27" i="5"/>
  <c r="I27" i="5"/>
  <c r="N26" i="5"/>
  <c r="M26" i="5"/>
  <c r="I26" i="5"/>
  <c r="N25" i="5"/>
  <c r="M25" i="5"/>
  <c r="K25" i="5"/>
  <c r="J25" i="5"/>
  <c r="N24" i="5"/>
  <c r="M24" i="5"/>
  <c r="K24" i="5"/>
  <c r="J24" i="5"/>
  <c r="I24" i="5"/>
  <c r="N23" i="5"/>
  <c r="M23" i="5"/>
  <c r="K23" i="5"/>
  <c r="J23" i="5"/>
  <c r="I23" i="5"/>
  <c r="N22" i="5"/>
  <c r="M22" i="5"/>
  <c r="L22" i="5"/>
  <c r="K22" i="5"/>
  <c r="J22" i="5"/>
  <c r="I22" i="5"/>
  <c r="L2" i="5"/>
  <c r="L18" i="5" s="1"/>
  <c r="L1" i="5"/>
  <c r="O2" i="5" s="1"/>
  <c r="O8" i="4"/>
  <c r="N8" i="4"/>
  <c r="C18" i="4"/>
  <c r="C21" i="4" s="1"/>
  <c r="C24" i="4" s="1"/>
  <c r="C17" i="4"/>
  <c r="C20" i="4" s="1"/>
  <c r="C23" i="4" s="1"/>
  <c r="I8" i="4"/>
  <c r="G8" i="4"/>
  <c r="H8" i="4" s="1"/>
  <c r="L8" i="4" s="1"/>
  <c r="F9" i="4"/>
  <c r="G9" i="4" s="1"/>
  <c r="P9" i="4" s="1"/>
  <c r="E21" i="2"/>
  <c r="E18" i="2"/>
  <c r="D10" i="2"/>
  <c r="E7" i="2"/>
  <c r="D26" i="1"/>
  <c r="D25" i="1"/>
  <c r="D24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C61" i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C62" i="1" s="1"/>
  <c r="D63" i="1" s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30" i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G31" i="1" s="1"/>
  <c r="C3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C31" i="1" s="1"/>
  <c r="E11" i="7" l="1"/>
  <c r="F11" i="7" s="1"/>
  <c r="R24" i="5"/>
  <c r="S21" i="5"/>
  <c r="R20" i="5"/>
  <c r="S23" i="5"/>
  <c r="S18" i="5"/>
  <c r="S17" i="5"/>
  <c r="R17" i="5"/>
  <c r="R21" i="5"/>
  <c r="S11" i="5"/>
  <c r="S20" i="5"/>
  <c r="R18" i="5"/>
  <c r="R11" i="5"/>
  <c r="R23" i="5"/>
  <c r="C13" i="7"/>
  <c r="D13" i="7" s="1"/>
  <c r="E13" i="7" s="1"/>
  <c r="F13" i="7" s="1"/>
  <c r="B14" i="7"/>
  <c r="P8" i="4"/>
  <c r="Q8" i="4" s="1"/>
  <c r="C12" i="7"/>
  <c r="D12" i="7" s="1"/>
  <c r="E12" i="7" s="1"/>
  <c r="F12" i="7" s="1"/>
  <c r="Q76" i="12"/>
  <c r="E15" i="2"/>
  <c r="O9" i="4"/>
  <c r="E19" i="7"/>
  <c r="F19" i="7" s="1"/>
  <c r="B55" i="9"/>
  <c r="D55" i="9" s="1"/>
  <c r="D56" i="9" s="1"/>
  <c r="I46" i="9" s="1"/>
  <c r="N46" i="9" s="1"/>
  <c r="A52" i="9"/>
  <c r="D15" i="19"/>
  <c r="F15" i="19"/>
  <c r="C16" i="19"/>
  <c r="J35" i="17"/>
  <c r="M35" i="17" s="1"/>
  <c r="L36" i="17"/>
  <c r="J15" i="17"/>
  <c r="M15" i="17" s="1"/>
  <c r="N12" i="11"/>
  <c r="N14" i="11" s="1"/>
  <c r="D16" i="11" s="1"/>
  <c r="D18" i="11" s="1"/>
  <c r="A57" i="11"/>
  <c r="M43" i="11"/>
  <c r="J49" i="11"/>
  <c r="L49" i="11" s="1"/>
  <c r="I46" i="11"/>
  <c r="I57" i="11"/>
  <c r="N57" i="11" s="1"/>
  <c r="A47" i="11"/>
  <c r="B50" i="11"/>
  <c r="D49" i="11" s="1"/>
  <c r="I56" i="11"/>
  <c r="N56" i="11" s="1"/>
  <c r="E44" i="11"/>
  <c r="A46" i="11"/>
  <c r="I47" i="11"/>
  <c r="G49" i="9"/>
  <c r="I49" i="9" s="1"/>
  <c r="G48" i="9"/>
  <c r="L47" i="9"/>
  <c r="G47" i="9"/>
  <c r="I47" i="9" s="1"/>
  <c r="L49" i="9"/>
  <c r="G50" i="9"/>
  <c r="I50" i="9" s="1"/>
  <c r="L48" i="9"/>
  <c r="A53" i="9"/>
  <c r="M5" i="9"/>
  <c r="F26" i="9"/>
  <c r="G25" i="9"/>
  <c r="B34" i="9"/>
  <c r="A31" i="9"/>
  <c r="B33" i="9"/>
  <c r="K42" i="8"/>
  <c r="M24" i="8" s="1"/>
  <c r="E42" i="8"/>
  <c r="G42" i="8"/>
  <c r="AC45" i="8"/>
  <c r="AD30" i="8"/>
  <c r="Q12" i="5"/>
  <c r="Q13" i="5" s="1"/>
  <c r="Q14" i="5" s="1"/>
  <c r="Q15" i="5" s="1"/>
  <c r="Q16" i="5" s="1"/>
  <c r="Q19" i="5" s="1"/>
  <c r="Q22" i="5" s="1"/>
  <c r="R22" i="5" s="1"/>
  <c r="L9" i="5"/>
  <c r="L14" i="5"/>
  <c r="L17" i="5"/>
  <c r="L12" i="5"/>
  <c r="L13" i="5"/>
  <c r="L8" i="5"/>
  <c r="L11" i="5"/>
  <c r="L16" i="5"/>
  <c r="L10" i="5"/>
  <c r="L15" i="5"/>
  <c r="N9" i="4"/>
  <c r="J9" i="4"/>
  <c r="H9" i="4"/>
  <c r="L9" i="4" s="1"/>
  <c r="Q9" i="4"/>
  <c r="J8" i="4"/>
  <c r="K8" i="4" s="1"/>
  <c r="M8" i="4" s="1"/>
  <c r="I9" i="4"/>
  <c r="F10" i="4"/>
  <c r="E15" i="1"/>
  <c r="D28" i="1"/>
  <c r="D29" i="1" s="1"/>
  <c r="H32" i="1"/>
  <c r="D32" i="1"/>
  <c r="R19" i="5" l="1"/>
  <c r="R12" i="5"/>
  <c r="R13" i="5"/>
  <c r="D52" i="9"/>
  <c r="D53" i="9" s="1"/>
  <c r="D54" i="9" s="1"/>
  <c r="R15" i="5"/>
  <c r="R14" i="5"/>
  <c r="R16" i="5"/>
  <c r="B15" i="7"/>
  <c r="C14" i="7"/>
  <c r="D14" i="7" s="1"/>
  <c r="E14" i="7" s="1"/>
  <c r="F14" i="7" s="1"/>
  <c r="N10" i="4"/>
  <c r="O10" i="4"/>
  <c r="M22" i="8"/>
  <c r="M23" i="8" s="1"/>
  <c r="F19" i="8" s="1"/>
  <c r="I48" i="9"/>
  <c r="H46" i="9"/>
  <c r="M46" i="9" s="1"/>
  <c r="M7" i="9"/>
  <c r="D8" i="9" s="1"/>
  <c r="D10" i="9" s="1"/>
  <c r="D16" i="19"/>
  <c r="F16" i="19"/>
  <c r="C17" i="19"/>
  <c r="J36" i="17"/>
  <c r="M36" i="17" s="1"/>
  <c r="L37" i="17"/>
  <c r="J16" i="17"/>
  <c r="M16" i="17" s="1"/>
  <c r="D46" i="11"/>
  <c r="D47" i="11" s="1"/>
  <c r="D48" i="11" s="1"/>
  <c r="B57" i="11"/>
  <c r="A58" i="11"/>
  <c r="I58" i="11" s="1"/>
  <c r="N58" i="11" s="1"/>
  <c r="L50" i="11"/>
  <c r="F55" i="11" s="1"/>
  <c r="L46" i="11"/>
  <c r="L47" i="11" s="1"/>
  <c r="L48" i="11" s="1"/>
  <c r="D50" i="11"/>
  <c r="H50" i="9"/>
  <c r="H47" i="9"/>
  <c r="M47" i="9" s="1"/>
  <c r="N47" i="9"/>
  <c r="N49" i="9"/>
  <c r="H49" i="9"/>
  <c r="M49" i="9" s="1"/>
  <c r="H48" i="9"/>
  <c r="M48" i="9" s="1"/>
  <c r="N48" i="9"/>
  <c r="G51" i="9"/>
  <c r="I51" i="9" s="1"/>
  <c r="L50" i="9"/>
  <c r="D33" i="9"/>
  <c r="L26" i="9"/>
  <c r="G26" i="9"/>
  <c r="F27" i="9"/>
  <c r="B30" i="9"/>
  <c r="D30" i="9" s="1"/>
  <c r="E27" i="9"/>
  <c r="G43" i="8"/>
  <c r="E43" i="8"/>
  <c r="N9" i="8"/>
  <c r="K9" i="4"/>
  <c r="S8" i="4"/>
  <c r="R8" i="4"/>
  <c r="U7" i="4" s="1"/>
  <c r="I10" i="4"/>
  <c r="F11" i="4"/>
  <c r="G10" i="4"/>
  <c r="P10" i="4" s="1"/>
  <c r="G50" i="11" l="1"/>
  <c r="N11" i="4"/>
  <c r="O11" i="4"/>
  <c r="S9" i="4"/>
  <c r="M9" i="4"/>
  <c r="C15" i="7"/>
  <c r="D15" i="7" s="1"/>
  <c r="E15" i="7" s="1"/>
  <c r="F15" i="7" s="1"/>
  <c r="B16" i="7"/>
  <c r="D17" i="19"/>
  <c r="F17" i="19"/>
  <c r="C18" i="19"/>
  <c r="L38" i="17"/>
  <c r="J37" i="17"/>
  <c r="M37" i="17" s="1"/>
  <c r="J17" i="17"/>
  <c r="M17" i="17" s="1"/>
  <c r="D57" i="11"/>
  <c r="K57" i="11" s="1"/>
  <c r="A59" i="11"/>
  <c r="I59" i="11" s="1"/>
  <c r="N59" i="11" s="1"/>
  <c r="B58" i="11"/>
  <c r="F58" i="11" s="1"/>
  <c r="M58" i="11" s="1"/>
  <c r="F56" i="11"/>
  <c r="M56" i="11" s="1"/>
  <c r="E57" i="11"/>
  <c r="L57" i="11" s="1"/>
  <c r="F57" i="11"/>
  <c r="M57" i="11" s="1"/>
  <c r="E55" i="11"/>
  <c r="E56" i="11"/>
  <c r="C55" i="11"/>
  <c r="J55" i="11" s="1"/>
  <c r="D55" i="11"/>
  <c r="K55" i="11" s="1"/>
  <c r="C57" i="11"/>
  <c r="J57" i="11" s="1"/>
  <c r="O57" i="11" s="1"/>
  <c r="D56" i="11"/>
  <c r="K56" i="11" s="1"/>
  <c r="C56" i="11"/>
  <c r="J56" i="11" s="1"/>
  <c r="H51" i="9"/>
  <c r="M50" i="9"/>
  <c r="N50" i="9"/>
  <c r="G52" i="9"/>
  <c r="I52" i="9" s="1"/>
  <c r="L51" i="9"/>
  <c r="D34" i="9"/>
  <c r="H25" i="9" s="1"/>
  <c r="M25" i="9" s="1"/>
  <c r="F28" i="9"/>
  <c r="L27" i="9"/>
  <c r="G27" i="9"/>
  <c r="D31" i="9"/>
  <c r="D32" i="9" s="1"/>
  <c r="H40" i="8"/>
  <c r="H37" i="8"/>
  <c r="H34" i="8"/>
  <c r="H31" i="8"/>
  <c r="H38" i="8"/>
  <c r="H35" i="8"/>
  <c r="H32" i="8"/>
  <c r="H29" i="8"/>
  <c r="H39" i="8"/>
  <c r="H36" i="8"/>
  <c r="H33" i="8"/>
  <c r="H30" i="8"/>
  <c r="R9" i="4"/>
  <c r="U8" i="4" s="1"/>
  <c r="H10" i="4"/>
  <c r="L10" i="4" s="1"/>
  <c r="J10" i="4"/>
  <c r="K10" i="4" s="1"/>
  <c r="I11" i="4"/>
  <c r="Q10" i="4"/>
  <c r="F12" i="4"/>
  <c r="G11" i="4"/>
  <c r="P11" i="4" s="1"/>
  <c r="H24" i="9" l="1"/>
  <c r="M24" i="9" s="1"/>
  <c r="I25" i="9"/>
  <c r="N25" i="9" s="1"/>
  <c r="I24" i="9"/>
  <c r="N24" i="9" s="1"/>
  <c r="M10" i="4"/>
  <c r="H27" i="9"/>
  <c r="H26" i="9"/>
  <c r="M26" i="9" s="1"/>
  <c r="O56" i="11"/>
  <c r="N12" i="4"/>
  <c r="O12" i="4"/>
  <c r="I26" i="9"/>
  <c r="N26" i="9" s="1"/>
  <c r="C16" i="7"/>
  <c r="D16" i="7" s="1"/>
  <c r="E16" i="7" s="1"/>
  <c r="F16" i="7" s="1"/>
  <c r="B17" i="7"/>
  <c r="C17" i="7" s="1"/>
  <c r="D17" i="7" s="1"/>
  <c r="E17" i="7" s="1"/>
  <c r="F17" i="7" s="1"/>
  <c r="D18" i="19"/>
  <c r="F18" i="19"/>
  <c r="C19" i="19"/>
  <c r="L39" i="17"/>
  <c r="J38" i="17"/>
  <c r="M38" i="17" s="1"/>
  <c r="J18" i="17"/>
  <c r="M18" i="17" s="1"/>
  <c r="O55" i="11"/>
  <c r="C58" i="11"/>
  <c r="J58" i="11" s="1"/>
  <c r="D58" i="11"/>
  <c r="K58" i="11" s="1"/>
  <c r="E58" i="11"/>
  <c r="L56" i="11"/>
  <c r="M55" i="11"/>
  <c r="A60" i="11"/>
  <c r="I60" i="11" s="1"/>
  <c r="N60" i="11" s="1"/>
  <c r="B59" i="11"/>
  <c r="D59" i="11" s="1"/>
  <c r="K59" i="11" s="1"/>
  <c r="L55" i="11"/>
  <c r="H52" i="9"/>
  <c r="N51" i="9"/>
  <c r="M51" i="9"/>
  <c r="G53" i="9"/>
  <c r="I53" i="9" s="1"/>
  <c r="L52" i="9"/>
  <c r="M27" i="9"/>
  <c r="I27" i="9"/>
  <c r="N27" i="9" s="1"/>
  <c r="F29" i="9"/>
  <c r="L28" i="9"/>
  <c r="G28" i="9"/>
  <c r="I29" i="8"/>
  <c r="H42" i="8"/>
  <c r="H11" i="4"/>
  <c r="L11" i="4" s="1"/>
  <c r="S10" i="4"/>
  <c r="R10" i="4"/>
  <c r="U9" i="4" s="1"/>
  <c r="J11" i="4"/>
  <c r="K11" i="4" s="1"/>
  <c r="Q11" i="4"/>
  <c r="I12" i="4"/>
  <c r="F13" i="4"/>
  <c r="G12" i="4"/>
  <c r="P12" i="4" s="1"/>
  <c r="M11" i="4" l="1"/>
  <c r="N13" i="4"/>
  <c r="O13" i="4"/>
  <c r="O58" i="11"/>
  <c r="D19" i="19"/>
  <c r="F19" i="19"/>
  <c r="C20" i="19"/>
  <c r="J39" i="17"/>
  <c r="M39" i="17" s="1"/>
  <c r="L40" i="17"/>
  <c r="J19" i="17"/>
  <c r="M19" i="17" s="1"/>
  <c r="C59" i="11"/>
  <c r="J59" i="11" s="1"/>
  <c r="O59" i="11" s="1"/>
  <c r="L58" i="11"/>
  <c r="A61" i="11"/>
  <c r="I61" i="11" s="1"/>
  <c r="N61" i="11" s="1"/>
  <c r="B60" i="11"/>
  <c r="E59" i="11"/>
  <c r="F59" i="11"/>
  <c r="H53" i="9"/>
  <c r="M52" i="9"/>
  <c r="N52" i="9"/>
  <c r="L53" i="9"/>
  <c r="G54" i="9"/>
  <c r="I54" i="9" s="1"/>
  <c r="H28" i="9"/>
  <c r="M28" i="9" s="1"/>
  <c r="I28" i="9"/>
  <c r="N28" i="9" s="1"/>
  <c r="F30" i="9"/>
  <c r="L29" i="9"/>
  <c r="G29" i="9"/>
  <c r="I30" i="8"/>
  <c r="S11" i="4"/>
  <c r="R11" i="4"/>
  <c r="U10" i="4" s="1"/>
  <c r="H12" i="4"/>
  <c r="L12" i="4" s="1"/>
  <c r="J12" i="4"/>
  <c r="K12" i="4" s="1"/>
  <c r="I13" i="4"/>
  <c r="Q12" i="4"/>
  <c r="F14" i="4"/>
  <c r="G13" i="4"/>
  <c r="P13" i="4" s="1"/>
  <c r="M12" i="4" l="1"/>
  <c r="N14" i="4"/>
  <c r="O14" i="4"/>
  <c r="D20" i="19"/>
  <c r="F20" i="19"/>
  <c r="C21" i="19"/>
  <c r="L41" i="17"/>
  <c r="J40" i="17"/>
  <c r="M40" i="17" s="1"/>
  <c r="J20" i="17"/>
  <c r="M20" i="17" s="1"/>
  <c r="C60" i="11"/>
  <c r="J60" i="11" s="1"/>
  <c r="D60" i="11"/>
  <c r="K60" i="11" s="1"/>
  <c r="M59" i="11"/>
  <c r="A62" i="11"/>
  <c r="B61" i="11"/>
  <c r="E60" i="11"/>
  <c r="F60" i="11"/>
  <c r="L59" i="11"/>
  <c r="H54" i="9"/>
  <c r="M53" i="9"/>
  <c r="N53" i="9"/>
  <c r="G55" i="9"/>
  <c r="I55" i="9" s="1"/>
  <c r="L54" i="9"/>
  <c r="H29" i="9"/>
  <c r="M29" i="9" s="1"/>
  <c r="I29" i="9"/>
  <c r="N29" i="9" s="1"/>
  <c r="F31" i="9"/>
  <c r="L30" i="9"/>
  <c r="G30" i="9"/>
  <c r="I31" i="8"/>
  <c r="S12" i="4"/>
  <c r="R12" i="4"/>
  <c r="U11" i="4" s="1"/>
  <c r="H13" i="4"/>
  <c r="L13" i="4" s="1"/>
  <c r="J13" i="4"/>
  <c r="K13" i="4" s="1"/>
  <c r="Q13" i="4"/>
  <c r="I14" i="4"/>
  <c r="F15" i="4"/>
  <c r="G14" i="4"/>
  <c r="P14" i="4" s="1"/>
  <c r="O60" i="11" l="1"/>
  <c r="N15" i="4"/>
  <c r="O15" i="4"/>
  <c r="M13" i="4"/>
  <c r="D21" i="19"/>
  <c r="F21" i="19"/>
  <c r="C22" i="19"/>
  <c r="J41" i="17"/>
  <c r="M41" i="17" s="1"/>
  <c r="L42" i="17"/>
  <c r="J21" i="17"/>
  <c r="M21" i="17" s="1"/>
  <c r="C61" i="11"/>
  <c r="J61" i="11" s="1"/>
  <c r="D61" i="11"/>
  <c r="K61" i="11" s="1"/>
  <c r="L60" i="11"/>
  <c r="M60" i="11"/>
  <c r="A63" i="11"/>
  <c r="I63" i="11" s="1"/>
  <c r="N63" i="11" s="1"/>
  <c r="B62" i="11"/>
  <c r="F61" i="11"/>
  <c r="E61" i="11"/>
  <c r="I62" i="11"/>
  <c r="N62" i="11" s="1"/>
  <c r="H55" i="9"/>
  <c r="M54" i="9"/>
  <c r="N54" i="9"/>
  <c r="L55" i="9"/>
  <c r="H30" i="9"/>
  <c r="M30" i="9" s="1"/>
  <c r="I30" i="9"/>
  <c r="N30" i="9" s="1"/>
  <c r="F32" i="9"/>
  <c r="L31" i="9"/>
  <c r="G31" i="9"/>
  <c r="I32" i="8"/>
  <c r="S13" i="4"/>
  <c r="R13" i="4"/>
  <c r="U12" i="4" s="1"/>
  <c r="H14" i="4"/>
  <c r="L14" i="4" s="1"/>
  <c r="J14" i="4"/>
  <c r="K14" i="4" s="1"/>
  <c r="Q14" i="4"/>
  <c r="I15" i="4"/>
  <c r="F23" i="4"/>
  <c r="G15" i="4"/>
  <c r="P15" i="4" s="1"/>
  <c r="M14" i="4" l="1"/>
  <c r="O61" i="11"/>
  <c r="N23" i="4"/>
  <c r="O23" i="4"/>
  <c r="D22" i="19"/>
  <c r="F22" i="19"/>
  <c r="C23" i="19"/>
  <c r="J42" i="17"/>
  <c r="M42" i="17" s="1"/>
  <c r="L43" i="17"/>
  <c r="J22" i="17"/>
  <c r="M22" i="17" s="1"/>
  <c r="C62" i="11"/>
  <c r="J62" i="11" s="1"/>
  <c r="D62" i="11"/>
  <c r="K62" i="11" s="1"/>
  <c r="M61" i="11"/>
  <c r="L61" i="11"/>
  <c r="A64" i="11"/>
  <c r="B63" i="11"/>
  <c r="C63" i="11" s="1"/>
  <c r="J63" i="11" s="1"/>
  <c r="F62" i="11"/>
  <c r="E62" i="11"/>
  <c r="M55" i="9"/>
  <c r="N55" i="9"/>
  <c r="H31" i="9"/>
  <c r="M31" i="9" s="1"/>
  <c r="I31" i="9"/>
  <c r="N31" i="9" s="1"/>
  <c r="F33" i="9"/>
  <c r="L32" i="9"/>
  <c r="G32" i="9"/>
  <c r="I33" i="8"/>
  <c r="H15" i="4"/>
  <c r="L15" i="4" s="1"/>
  <c r="S14" i="4"/>
  <c r="R14" i="4"/>
  <c r="U13" i="4" s="1"/>
  <c r="J15" i="4"/>
  <c r="K15" i="4" s="1"/>
  <c r="I23" i="4"/>
  <c r="Q15" i="4"/>
  <c r="F24" i="4"/>
  <c r="G23" i="4"/>
  <c r="P23" i="4" s="1"/>
  <c r="N24" i="4" l="1"/>
  <c r="O24" i="4"/>
  <c r="M15" i="4"/>
  <c r="K17" i="4"/>
  <c r="D23" i="19"/>
  <c r="F23" i="19"/>
  <c r="C25" i="19"/>
  <c r="L44" i="17"/>
  <c r="J43" i="17"/>
  <c r="M43" i="17" s="1"/>
  <c r="J23" i="17"/>
  <c r="M23" i="17" s="1"/>
  <c r="O62" i="11"/>
  <c r="D63" i="11"/>
  <c r="K63" i="11" s="1"/>
  <c r="O63" i="11" s="1"/>
  <c r="M62" i="11"/>
  <c r="L62" i="11"/>
  <c r="A65" i="11"/>
  <c r="B64" i="11"/>
  <c r="E63" i="11"/>
  <c r="F63" i="11"/>
  <c r="I64" i="11"/>
  <c r="N64" i="11" s="1"/>
  <c r="H32" i="9"/>
  <c r="M32" i="9" s="1"/>
  <c r="I32" i="9"/>
  <c r="N32" i="9" s="1"/>
  <c r="G33" i="9"/>
  <c r="L33" i="9"/>
  <c r="I34" i="8"/>
  <c r="H23" i="4"/>
  <c r="L23" i="4" s="1"/>
  <c r="S15" i="4"/>
  <c r="R15" i="4"/>
  <c r="U14" i="4" s="1"/>
  <c r="J23" i="4"/>
  <c r="K23" i="4" s="1"/>
  <c r="Q23" i="4"/>
  <c r="I24" i="4"/>
  <c r="F25" i="4"/>
  <c r="G24" i="4"/>
  <c r="P24" i="4" s="1"/>
  <c r="M23" i="4" l="1"/>
  <c r="N25" i="4"/>
  <c r="O25" i="4"/>
  <c r="N17" i="4"/>
  <c r="Q17" i="4"/>
  <c r="L17" i="4"/>
  <c r="D25" i="19"/>
  <c r="F25" i="19"/>
  <c r="C26" i="19"/>
  <c r="J44" i="17"/>
  <c r="M44" i="17" s="1"/>
  <c r="L45" i="17"/>
  <c r="J24" i="17"/>
  <c r="M24" i="17" s="1"/>
  <c r="C64" i="11"/>
  <c r="J64" i="11" s="1"/>
  <c r="D64" i="11"/>
  <c r="K64" i="11" s="1"/>
  <c r="L63" i="11"/>
  <c r="M63" i="11"/>
  <c r="A66" i="11"/>
  <c r="I65" i="11"/>
  <c r="N65" i="11" s="1"/>
  <c r="B65" i="11"/>
  <c r="E64" i="11"/>
  <c r="F64" i="11"/>
  <c r="I33" i="9"/>
  <c r="N33" i="9" s="1"/>
  <c r="H33" i="9"/>
  <c r="M33" i="9" s="1"/>
  <c r="I35" i="8"/>
  <c r="S23" i="4"/>
  <c r="R23" i="4"/>
  <c r="U15" i="4" s="1"/>
  <c r="H24" i="4"/>
  <c r="L24" i="4" s="1"/>
  <c r="J24" i="4"/>
  <c r="K24" i="4" s="1"/>
  <c r="M24" i="4" s="1"/>
  <c r="Q24" i="4"/>
  <c r="I25" i="4"/>
  <c r="F26" i="4"/>
  <c r="G25" i="4"/>
  <c r="P25" i="4" s="1"/>
  <c r="N26" i="4" l="1"/>
  <c r="O26" i="4"/>
  <c r="D26" i="19"/>
  <c r="F26" i="19"/>
  <c r="C27" i="19"/>
  <c r="L46" i="17"/>
  <c r="J45" i="17"/>
  <c r="M45" i="17" s="1"/>
  <c r="J25" i="17"/>
  <c r="M25" i="17" s="1"/>
  <c r="O64" i="11"/>
  <c r="M64" i="11"/>
  <c r="F65" i="11"/>
  <c r="M65" i="11" s="1"/>
  <c r="C65" i="11"/>
  <c r="J65" i="11" s="1"/>
  <c r="E65" i="11"/>
  <c r="L65" i="11" s="1"/>
  <c r="D65" i="11"/>
  <c r="K65" i="11" s="1"/>
  <c r="L64" i="11"/>
  <c r="A67" i="11"/>
  <c r="I66" i="11"/>
  <c r="N66" i="11" s="1"/>
  <c r="B66" i="11"/>
  <c r="I36" i="8"/>
  <c r="S24" i="4"/>
  <c r="R24" i="4"/>
  <c r="H25" i="4"/>
  <c r="L25" i="4" s="1"/>
  <c r="J25" i="4"/>
  <c r="K25" i="4" s="1"/>
  <c r="U23" i="4"/>
  <c r="I26" i="4"/>
  <c r="Q25" i="4"/>
  <c r="G26" i="4"/>
  <c r="P26" i="4" s="1"/>
  <c r="M25" i="4" l="1"/>
  <c r="O65" i="11"/>
  <c r="H26" i="4"/>
  <c r="L26" i="4" s="1"/>
  <c r="D27" i="19"/>
  <c r="F27" i="19"/>
  <c r="C28" i="19"/>
  <c r="F28" i="19" s="1"/>
  <c r="J46" i="17"/>
  <c r="M46" i="17" s="1"/>
  <c r="L47" i="17"/>
  <c r="J26" i="17"/>
  <c r="M26" i="17" s="1"/>
  <c r="E66" i="11"/>
  <c r="L66" i="11" s="1"/>
  <c r="F66" i="11"/>
  <c r="M66" i="11" s="1"/>
  <c r="D66" i="11"/>
  <c r="K66" i="11" s="1"/>
  <c r="C66" i="11"/>
  <c r="J66" i="11" s="1"/>
  <c r="A68" i="11"/>
  <c r="I67" i="11"/>
  <c r="N67" i="11" s="1"/>
  <c r="B67" i="11"/>
  <c r="I37" i="8"/>
  <c r="S25" i="4"/>
  <c r="R25" i="4"/>
  <c r="U24" i="4" s="1"/>
  <c r="J26" i="4"/>
  <c r="K26" i="4" s="1"/>
  <c r="Q26" i="4"/>
  <c r="O66" i="11" l="1"/>
  <c r="M26" i="4"/>
  <c r="J47" i="17"/>
  <c r="M47" i="17" s="1"/>
  <c r="L48" i="17"/>
  <c r="D28" i="19"/>
  <c r="C29" i="19"/>
  <c r="F29" i="19" s="1"/>
  <c r="J27" i="17"/>
  <c r="M27" i="17" s="1"/>
  <c r="A69" i="11"/>
  <c r="I68" i="11"/>
  <c r="N68" i="11" s="1"/>
  <c r="B68" i="11"/>
  <c r="D67" i="11"/>
  <c r="K67" i="11" s="1"/>
  <c r="F67" i="11"/>
  <c r="M67" i="11" s="1"/>
  <c r="E67" i="11"/>
  <c r="L67" i="11" s="1"/>
  <c r="C67" i="11"/>
  <c r="J67" i="11" s="1"/>
  <c r="I38" i="8"/>
  <c r="S26" i="4"/>
  <c r="R26" i="4"/>
  <c r="U25" i="4" s="1"/>
  <c r="O67" i="11" l="1"/>
  <c r="L49" i="17"/>
  <c r="J48" i="17"/>
  <c r="M48" i="17" s="1"/>
  <c r="C30" i="19"/>
  <c r="F30" i="19" s="1"/>
  <c r="D29" i="19"/>
  <c r="E68" i="11"/>
  <c r="L68" i="11" s="1"/>
  <c r="C68" i="11"/>
  <c r="J68" i="11" s="1"/>
  <c r="D68" i="11"/>
  <c r="K68" i="11" s="1"/>
  <c r="F68" i="11"/>
  <c r="M68" i="11" s="1"/>
  <c r="A70" i="11"/>
  <c r="B69" i="11"/>
  <c r="I69" i="11"/>
  <c r="N69" i="11" s="1"/>
  <c r="I39" i="8"/>
  <c r="O68" i="11" l="1"/>
  <c r="J49" i="17"/>
  <c r="M49" i="17" s="1"/>
  <c r="L50" i="17"/>
  <c r="D30" i="19"/>
  <c r="C31" i="19"/>
  <c r="F31" i="19" s="1"/>
  <c r="A71" i="11"/>
  <c r="I70" i="11"/>
  <c r="N70" i="11" s="1"/>
  <c r="B70" i="11"/>
  <c r="C69" i="11"/>
  <c r="J69" i="11" s="1"/>
  <c r="E69" i="11"/>
  <c r="L69" i="11" s="1"/>
  <c r="F69" i="11"/>
  <c r="M69" i="11" s="1"/>
  <c r="H17" i="11" s="1"/>
  <c r="D69" i="11"/>
  <c r="K69" i="11" s="1"/>
  <c r="I40" i="8"/>
  <c r="J50" i="17" l="1"/>
  <c r="M50" i="17" s="1"/>
  <c r="L51" i="17"/>
  <c r="D31" i="19"/>
  <c r="C32" i="19"/>
  <c r="F32" i="19" s="1"/>
  <c r="O69" i="11"/>
  <c r="C70" i="11"/>
  <c r="J70" i="11" s="1"/>
  <c r="F70" i="11"/>
  <c r="M70" i="11" s="1"/>
  <c r="E70" i="11"/>
  <c r="L70" i="11" s="1"/>
  <c r="D70" i="11"/>
  <c r="K70" i="11" s="1"/>
  <c r="A72" i="11"/>
  <c r="B71" i="11"/>
  <c r="I71" i="11"/>
  <c r="N71" i="11" s="1"/>
  <c r="I43" i="8"/>
  <c r="I41" i="8"/>
  <c r="L52" i="17" l="1"/>
  <c r="J51" i="17"/>
  <c r="M51" i="17" s="1"/>
  <c r="D32" i="19"/>
  <c r="C33" i="19"/>
  <c r="F33" i="19" s="1"/>
  <c r="O70" i="11"/>
  <c r="A73" i="11"/>
  <c r="B72" i="11"/>
  <c r="I72" i="11"/>
  <c r="N72" i="11" s="1"/>
  <c r="C71" i="11"/>
  <c r="J71" i="11" s="1"/>
  <c r="F71" i="11"/>
  <c r="M71" i="11" s="1"/>
  <c r="D71" i="11"/>
  <c r="K71" i="11" s="1"/>
  <c r="E71" i="11"/>
  <c r="L71" i="11" s="1"/>
  <c r="J38" i="8"/>
  <c r="J35" i="8"/>
  <c r="J32" i="8"/>
  <c r="J29" i="8"/>
  <c r="J39" i="8"/>
  <c r="J36" i="8"/>
  <c r="J33" i="8"/>
  <c r="J30" i="8"/>
  <c r="J40" i="8"/>
  <c r="J37" i="8"/>
  <c r="J34" i="8"/>
  <c r="J31" i="8"/>
  <c r="J41" i="8"/>
  <c r="M25" i="8" s="1"/>
  <c r="L53" i="17" l="1"/>
  <c r="J52" i="17"/>
  <c r="M52" i="17" s="1"/>
  <c r="D33" i="19"/>
  <c r="C34" i="19"/>
  <c r="F34" i="19" s="1"/>
  <c r="O71" i="11"/>
  <c r="E72" i="11"/>
  <c r="L72" i="11" s="1"/>
  <c r="F72" i="11"/>
  <c r="M72" i="11" s="1"/>
  <c r="D72" i="11"/>
  <c r="K72" i="11" s="1"/>
  <c r="C72" i="11"/>
  <c r="J72" i="11" s="1"/>
  <c r="A74" i="11"/>
  <c r="B73" i="11"/>
  <c r="I73" i="11"/>
  <c r="N73" i="11" s="1"/>
  <c r="J53" i="17" l="1"/>
  <c r="M53" i="17" s="1"/>
  <c r="L54" i="17"/>
  <c r="D34" i="19"/>
  <c r="C35" i="19"/>
  <c r="F35" i="19" s="1"/>
  <c r="O72" i="11"/>
  <c r="A75" i="11"/>
  <c r="I74" i="11"/>
  <c r="N74" i="11" s="1"/>
  <c r="B74" i="11"/>
  <c r="E73" i="11"/>
  <c r="L73" i="11" s="1"/>
  <c r="D73" i="11"/>
  <c r="K73" i="11" s="1"/>
  <c r="F73" i="11"/>
  <c r="M73" i="11" s="1"/>
  <c r="C73" i="11"/>
  <c r="J73" i="11" s="1"/>
  <c r="O73" i="11" l="1"/>
  <c r="L55" i="17"/>
  <c r="J54" i="17"/>
  <c r="M54" i="17" s="1"/>
  <c r="D35" i="19"/>
  <c r="C36" i="19"/>
  <c r="F36" i="19" s="1"/>
  <c r="C74" i="11"/>
  <c r="J74" i="11" s="1"/>
  <c r="D74" i="11"/>
  <c r="K74" i="11" s="1"/>
  <c r="A76" i="11"/>
  <c r="I75" i="11"/>
  <c r="N75" i="11" s="1"/>
  <c r="B75" i="11"/>
  <c r="O74" i="11" l="1"/>
  <c r="L56" i="17"/>
  <c r="J55" i="17"/>
  <c r="M55" i="17" s="1"/>
  <c r="D36" i="19"/>
  <c r="C37" i="19"/>
  <c r="F37" i="19" s="1"/>
  <c r="A77" i="11"/>
  <c r="I76" i="11"/>
  <c r="N76" i="11" s="1"/>
  <c r="B76" i="11"/>
  <c r="D75" i="11"/>
  <c r="K75" i="11" s="1"/>
  <c r="C75" i="11"/>
  <c r="J75" i="11" s="1"/>
  <c r="O75" i="11" l="1"/>
  <c r="L57" i="17"/>
  <c r="J56" i="17"/>
  <c r="M56" i="17" s="1"/>
  <c r="D37" i="19"/>
  <c r="C38" i="19"/>
  <c r="F38" i="19" s="1"/>
  <c r="D76" i="11"/>
  <c r="K76" i="11" s="1"/>
  <c r="C76" i="11"/>
  <c r="J76" i="11" s="1"/>
  <c r="A78" i="11"/>
  <c r="I77" i="11"/>
  <c r="N77" i="11" s="1"/>
  <c r="B77" i="11"/>
  <c r="L58" i="17" l="1"/>
  <c r="J57" i="17"/>
  <c r="M57" i="17" s="1"/>
  <c r="D38" i="19"/>
  <c r="C39" i="19"/>
  <c r="F39" i="19" s="1"/>
  <c r="O76" i="11"/>
  <c r="C77" i="11"/>
  <c r="J77" i="11" s="1"/>
  <c r="D77" i="11"/>
  <c r="K77" i="11" s="1"/>
  <c r="A79" i="11"/>
  <c r="B78" i="11"/>
  <c r="I78" i="11"/>
  <c r="N78" i="11" s="1"/>
  <c r="O77" i="11" l="1"/>
  <c r="J58" i="17"/>
  <c r="M58" i="17" s="1"/>
  <c r="L59" i="17"/>
  <c r="D39" i="19"/>
  <c r="C40" i="19"/>
  <c r="F40" i="19" s="1"/>
  <c r="I79" i="11"/>
  <c r="N79" i="11" s="1"/>
  <c r="B79" i="11"/>
  <c r="A80" i="11"/>
  <c r="D78" i="11"/>
  <c r="K78" i="11" s="1"/>
  <c r="C78" i="11"/>
  <c r="J78" i="11" s="1"/>
  <c r="O78" i="11" s="1"/>
  <c r="J59" i="17" l="1"/>
  <c r="M59" i="17" s="1"/>
  <c r="L60" i="17"/>
  <c r="D40" i="19"/>
  <c r="C41" i="19"/>
  <c r="F41" i="19" s="1"/>
  <c r="C79" i="11"/>
  <c r="J79" i="11" s="1"/>
  <c r="D79" i="11"/>
  <c r="K79" i="11" s="1"/>
  <c r="A81" i="11"/>
  <c r="B80" i="11"/>
  <c r="I80" i="11"/>
  <c r="N80" i="11" s="1"/>
  <c r="O79" i="11" l="1"/>
  <c r="J60" i="17"/>
  <c r="M60" i="17" s="1"/>
  <c r="L61" i="17"/>
  <c r="D41" i="19"/>
  <c r="C42" i="19"/>
  <c r="F42" i="19" s="1"/>
  <c r="A82" i="11"/>
  <c r="I81" i="11"/>
  <c r="N81" i="11" s="1"/>
  <c r="B81" i="11"/>
  <c r="C80" i="11"/>
  <c r="J80" i="11" s="1"/>
  <c r="D80" i="11"/>
  <c r="K80" i="11" s="1"/>
  <c r="L62" i="17" l="1"/>
  <c r="J61" i="17"/>
  <c r="M61" i="17" s="1"/>
  <c r="O80" i="11"/>
  <c r="D42" i="19"/>
  <c r="C43" i="19"/>
  <c r="F43" i="19" s="1"/>
  <c r="C81" i="11"/>
  <c r="J81" i="11" s="1"/>
  <c r="D81" i="11"/>
  <c r="K81" i="11" s="1"/>
  <c r="A83" i="11"/>
  <c r="I82" i="11"/>
  <c r="N82" i="11" s="1"/>
  <c r="B82" i="11"/>
  <c r="O81" i="11" l="1"/>
  <c r="J62" i="17"/>
  <c r="M62" i="17" s="1"/>
  <c r="L63" i="17"/>
  <c r="D43" i="19"/>
  <c r="C44" i="19"/>
  <c r="F44" i="19" s="1"/>
  <c r="D82" i="11"/>
  <c r="K82" i="11" s="1"/>
  <c r="C82" i="11"/>
  <c r="J82" i="11" s="1"/>
  <c r="B83" i="11"/>
  <c r="I83" i="11"/>
  <c r="N83" i="11" s="1"/>
  <c r="L64" i="17" l="1"/>
  <c r="J63" i="17"/>
  <c r="M63" i="17" s="1"/>
  <c r="D44" i="19"/>
  <c r="C45" i="19"/>
  <c r="F45" i="19" s="1"/>
  <c r="O82" i="11"/>
  <c r="C83" i="11"/>
  <c r="J83" i="11" s="1"/>
  <c r="D83" i="11"/>
  <c r="K83" i="11" s="1"/>
  <c r="O83" i="11" l="1"/>
  <c r="J64" i="17"/>
  <c r="M64" i="17" s="1"/>
  <c r="L65" i="17"/>
  <c r="D45" i="19"/>
  <c r="C46" i="19"/>
  <c r="F46" i="19" s="1"/>
  <c r="L66" i="17" l="1"/>
  <c r="J65" i="17"/>
  <c r="M65" i="17" s="1"/>
  <c r="D46" i="19"/>
  <c r="C47" i="19"/>
  <c r="F47" i="19" s="1"/>
  <c r="L67" i="17" l="1"/>
  <c r="J66" i="17"/>
  <c r="M66" i="17" s="1"/>
  <c r="D47" i="19"/>
  <c r="C48" i="19"/>
  <c r="F48" i="19" s="1"/>
  <c r="L68" i="17" l="1"/>
  <c r="J67" i="17"/>
  <c r="M67" i="17" s="1"/>
  <c r="D48" i="19"/>
  <c r="C49" i="19"/>
  <c r="F49" i="19" s="1"/>
  <c r="L69" i="17" l="1"/>
  <c r="J68" i="17"/>
  <c r="M68" i="17" s="1"/>
  <c r="D49" i="19"/>
  <c r="C50" i="19"/>
  <c r="F50" i="19" s="1"/>
  <c r="L70" i="17" l="1"/>
  <c r="J69" i="17"/>
  <c r="M69" i="17" s="1"/>
  <c r="D50" i="19"/>
  <c r="C51" i="19"/>
  <c r="F51" i="19" s="1"/>
  <c r="J70" i="17" l="1"/>
  <c r="M70" i="17" s="1"/>
  <c r="L71" i="17"/>
  <c r="D51" i="19"/>
  <c r="C52" i="19"/>
  <c r="F52" i="19" s="1"/>
  <c r="L72" i="17" l="1"/>
  <c r="J71" i="17"/>
  <c r="M71" i="17" s="1"/>
  <c r="D52" i="19"/>
  <c r="C53" i="19"/>
  <c r="F53" i="19" s="1"/>
  <c r="J72" i="17" l="1"/>
  <c r="M72" i="17" s="1"/>
  <c r="L73" i="17"/>
  <c r="D53" i="19"/>
  <c r="C54" i="19"/>
  <c r="F54" i="19" s="1"/>
  <c r="L74" i="17" l="1"/>
  <c r="J73" i="17"/>
  <c r="M73" i="17" s="1"/>
  <c r="D54" i="19"/>
  <c r="C55" i="19"/>
  <c r="F55" i="19" s="1"/>
  <c r="J74" i="17" l="1"/>
  <c r="M74" i="17" s="1"/>
  <c r="L75" i="17"/>
  <c r="D55" i="19"/>
  <c r="C56" i="19"/>
  <c r="F56" i="19" s="1"/>
  <c r="L76" i="17" l="1"/>
  <c r="J75" i="17"/>
  <c r="M75" i="17" s="1"/>
  <c r="D56" i="19"/>
  <c r="C57" i="19"/>
  <c r="F57" i="19" s="1"/>
  <c r="L77" i="17" l="1"/>
  <c r="J76" i="17"/>
  <c r="M76" i="17" s="1"/>
  <c r="D57" i="19"/>
  <c r="C58" i="19"/>
  <c r="L78" i="17" l="1"/>
  <c r="J77" i="17"/>
  <c r="M77" i="17" s="1"/>
  <c r="D58" i="19"/>
  <c r="F58" i="19"/>
  <c r="N8" i="17"/>
  <c r="N37" i="17"/>
  <c r="N69" i="17"/>
  <c r="N74" i="17"/>
  <c r="N27" i="17"/>
  <c r="N20" i="17"/>
  <c r="N21" i="17"/>
  <c r="N70" i="17"/>
  <c r="N57" i="17"/>
  <c r="N51" i="17"/>
  <c r="N11" i="17"/>
  <c r="N53" i="17"/>
  <c r="N31" i="17"/>
  <c r="N48" i="17"/>
  <c r="N32" i="17"/>
  <c r="N19" i="17"/>
  <c r="N52" i="17"/>
  <c r="N50" i="17"/>
  <c r="N42" i="17"/>
  <c r="N71" i="17"/>
  <c r="N10" i="17"/>
  <c r="N25" i="17"/>
  <c r="N62" i="17"/>
  <c r="N47" i="17"/>
  <c r="N9" i="17"/>
  <c r="N26" i="17"/>
  <c r="N29" i="17"/>
  <c r="N55" i="17"/>
  <c r="N46" i="17"/>
  <c r="N30" i="17"/>
  <c r="N64" i="17"/>
  <c r="N22" i="17"/>
  <c r="N24" i="17"/>
  <c r="N28" i="17"/>
  <c r="N38" i="17"/>
  <c r="N13" i="17"/>
  <c r="N60" i="17"/>
  <c r="N54" i="17"/>
  <c r="N40" i="17"/>
  <c r="N49" i="17"/>
  <c r="N35" i="17"/>
  <c r="N77" i="17"/>
  <c r="N33" i="17"/>
  <c r="N23" i="17"/>
  <c r="N45" i="17"/>
  <c r="N59" i="17"/>
  <c r="N16" i="17"/>
  <c r="N76" i="17"/>
  <c r="N36" i="17"/>
  <c r="N12" i="17"/>
  <c r="N14" i="17"/>
  <c r="N61" i="17"/>
  <c r="N66" i="17"/>
  <c r="N43" i="17"/>
  <c r="N34" i="17"/>
  <c r="N63" i="17"/>
  <c r="N44" i="17"/>
  <c r="N67" i="17"/>
  <c r="N39" i="17"/>
  <c r="N18" i="17"/>
  <c r="N75" i="17"/>
  <c r="N73" i="17"/>
  <c r="N17" i="17"/>
  <c r="N15" i="17"/>
  <c r="N41" i="17"/>
  <c r="N58" i="17"/>
  <c r="N65" i="17"/>
  <c r="N72" i="17"/>
  <c r="N68" i="17"/>
  <c r="N56" i="17"/>
  <c r="L79" i="17" l="1"/>
  <c r="J78" i="17"/>
  <c r="M78" i="17" s="1"/>
  <c r="N78" i="17" s="1"/>
  <c r="L80" i="17" l="1"/>
  <c r="J79" i="17"/>
  <c r="M79" i="17" s="1"/>
  <c r="N79" i="17" s="1"/>
  <c r="L81" i="17" l="1"/>
  <c r="J80" i="17"/>
  <c r="M80" i="17" s="1"/>
  <c r="N80" i="17" s="1"/>
  <c r="L82" i="17" l="1"/>
  <c r="J81" i="17"/>
  <c r="M81" i="17" s="1"/>
  <c r="N81" i="17" s="1"/>
  <c r="J82" i="17" l="1"/>
  <c r="M82" i="17" s="1"/>
  <c r="N82" i="17" s="1"/>
  <c r="L83" i="17"/>
  <c r="L84" i="17" l="1"/>
  <c r="J83" i="17"/>
  <c r="M83" i="17" s="1"/>
  <c r="N83" i="17" s="1"/>
  <c r="L85" i="17" l="1"/>
  <c r="J84" i="17"/>
  <c r="M84" i="17" s="1"/>
  <c r="N84" i="17" s="1"/>
  <c r="J85" i="17" l="1"/>
  <c r="M85" i="17" s="1"/>
  <c r="N85" i="17" s="1"/>
  <c r="L86" i="17"/>
  <c r="L87" i="17" l="1"/>
  <c r="J87" i="17" s="1"/>
  <c r="M87" i="17" s="1"/>
  <c r="J86" i="17"/>
  <c r="M86" i="17" s="1"/>
  <c r="N86" i="17" s="1"/>
  <c r="N87" i="17" l="1"/>
  <c r="F19" i="17" s="1"/>
</calcChain>
</file>

<file path=xl/sharedStrings.xml><?xml version="1.0" encoding="utf-8"?>
<sst xmlns="http://schemas.openxmlformats.org/spreadsheetml/2006/main" count="712" uniqueCount="358">
  <si>
    <r>
      <rPr>
        <b/>
        <i/>
        <sz val="11"/>
        <color theme="1"/>
        <rFont val="Times New Roman"/>
        <family val="1"/>
      </rPr>
      <t>t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</si>
  <si>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Times New Roman"/>
        <family val="1"/>
      </rPr>
      <t>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%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</si>
  <si>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Times New Roman"/>
        <family val="1"/>
      </rPr>
      <t>D</t>
    </r>
    <r>
      <rPr>
        <b/>
        <i/>
        <sz val="8"/>
        <color theme="1"/>
        <rFont val="Times New Roman"/>
        <family val="1"/>
      </rPr>
      <t>máx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%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</si>
  <si>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D</t>
    </r>
    <r>
      <rPr>
        <b/>
        <i/>
        <sz val="8"/>
        <color theme="1"/>
        <rFont val="Times New Roman"/>
        <family val="1"/>
      </rPr>
      <t>med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%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</si>
  <si>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fc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%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</si>
  <si>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W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</si>
  <si>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Times New Roman"/>
        <family val="1"/>
      </rPr>
      <t>D</t>
    </r>
    <r>
      <rPr>
        <b/>
        <i/>
        <sz val="8"/>
        <color theme="1"/>
        <rFont val="Times New Roman"/>
        <family val="1"/>
      </rPr>
      <t>máx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kW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</si>
  <si>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D</t>
    </r>
    <r>
      <rPr>
        <b/>
        <i/>
        <sz val="8"/>
        <color theme="1"/>
        <rFont val="Times New Roman"/>
        <family val="1"/>
      </rPr>
      <t>máx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W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</si>
  <si>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kW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</si>
  <si>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Times New Roman"/>
        <family val="1"/>
      </rPr>
      <t>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KW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</si>
  <si>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Times New Roman"/>
        <family val="1"/>
      </rPr>
      <t>E</t>
    </r>
    <r>
      <rPr>
        <b/>
        <i/>
        <sz val="8"/>
        <color theme="1"/>
        <rFont val="Times New Roman"/>
        <family val="1"/>
      </rPr>
      <t>diaria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kWh</t>
    </r>
    <r>
      <rPr>
        <sz val="11"/>
        <color theme="1"/>
        <rFont val="Times New Roman"/>
        <family val="1"/>
      </rPr>
      <t>]  =</t>
    </r>
  </si>
  <si>
    <r>
      <rPr>
        <b/>
        <i/>
        <sz val="11"/>
        <color theme="1"/>
        <rFont val="Times New Roman"/>
        <family val="1"/>
      </rPr>
      <t>E</t>
    </r>
    <r>
      <rPr>
        <b/>
        <i/>
        <sz val="8"/>
        <color theme="1"/>
        <rFont val="Times New Roman"/>
        <family val="1"/>
      </rPr>
      <t>mensual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kWh</t>
    </r>
    <r>
      <rPr>
        <sz val="11"/>
        <color theme="1"/>
        <rFont val="Times New Roman"/>
        <family val="1"/>
      </rPr>
      <t>]  =</t>
    </r>
  </si>
  <si>
    <t>d  =</t>
  </si>
  <si>
    <t>g  =</t>
  </si>
  <si>
    <t>Radio del Sol:</t>
  </si>
  <si>
    <t>km</t>
  </si>
  <si>
    <t>Distancia Tierra Sol:</t>
  </si>
  <si>
    <r>
      <t>R</t>
    </r>
    <r>
      <rPr>
        <b/>
        <i/>
        <sz val="8"/>
        <color theme="1"/>
        <rFont val="Times New Roman"/>
        <family val="1"/>
      </rPr>
      <t>S</t>
    </r>
    <r>
      <rPr>
        <b/>
        <i/>
        <sz val="11"/>
        <color theme="1"/>
        <rFont val="Calibri"/>
        <family val="2"/>
        <scheme val="minor"/>
      </rPr>
      <t xml:space="preserve">  =</t>
    </r>
  </si>
  <si>
    <r>
      <t>R</t>
    </r>
    <r>
      <rPr>
        <b/>
        <i/>
        <sz val="8"/>
        <color theme="1"/>
        <rFont val="Times New Roman"/>
        <family val="1"/>
      </rPr>
      <t>ST</t>
    </r>
    <r>
      <rPr>
        <b/>
        <i/>
        <sz val="11"/>
        <color theme="1"/>
        <rFont val="Calibri"/>
        <family val="2"/>
        <scheme val="minor"/>
      </rPr>
      <t xml:space="preserve">  =</t>
    </r>
  </si>
  <si>
    <t xml:space="preserve">Intensidad de la radiaciónen la Tierra: </t>
  </si>
  <si>
    <t>kW/m2</t>
  </si>
  <si>
    <r>
      <t>p</t>
    </r>
    <r>
      <rPr>
        <b/>
        <i/>
        <sz val="8"/>
        <color theme="1"/>
        <rFont val="Times New Roman"/>
        <family val="1"/>
      </rPr>
      <t>T</t>
    </r>
    <r>
      <rPr>
        <b/>
        <i/>
        <sz val="11"/>
        <color theme="1"/>
        <rFont val="Calibri"/>
        <family val="2"/>
        <scheme val="minor"/>
      </rPr>
      <t xml:space="preserve">  =</t>
    </r>
  </si>
  <si>
    <r>
      <rPr>
        <b/>
        <i/>
        <sz val="11"/>
        <color theme="1"/>
        <rFont val="GreekS"/>
      </rPr>
      <t>s</t>
    </r>
    <r>
      <rPr>
        <b/>
        <i/>
        <sz val="11"/>
        <color theme="1"/>
        <rFont val="Calibri"/>
        <family val="2"/>
        <scheme val="minor"/>
      </rPr>
      <t xml:space="preserve">  =</t>
    </r>
  </si>
  <si>
    <t>ºK</t>
  </si>
  <si>
    <t>TW</t>
  </si>
  <si>
    <t>S  =</t>
  </si>
  <si>
    <t>C H4</t>
  </si>
  <si>
    <t>C2 H6</t>
  </si>
  <si>
    <t>C3 H8</t>
  </si>
  <si>
    <t>C4 H10</t>
  </si>
  <si>
    <t>C5 H12</t>
  </si>
  <si>
    <t>C6 H14</t>
  </si>
  <si>
    <t>C7 H16</t>
  </si>
  <si>
    <t>C8 H18</t>
  </si>
  <si>
    <t>C9 H20</t>
  </si>
  <si>
    <t>C10 H22</t>
  </si>
  <si>
    <t>C11 H24</t>
  </si>
  <si>
    <t>C12 H26</t>
  </si>
  <si>
    <t>C</t>
  </si>
  <si>
    <t>H</t>
  </si>
  <si>
    <t>kJ/mol</t>
  </si>
  <si>
    <t>C + O2  =  C O2 +</t>
  </si>
  <si>
    <t>2H + O  =  H2 O +</t>
  </si>
  <si>
    <t>Ma C  =</t>
  </si>
  <si>
    <t>g/mol</t>
  </si>
  <si>
    <t>Ma O  =</t>
  </si>
  <si>
    <t>1 cal  =</t>
  </si>
  <si>
    <t>J</t>
  </si>
  <si>
    <t>kJ/g</t>
  </si>
  <si>
    <t>cal/g</t>
  </si>
  <si>
    <t>cal/kg</t>
  </si>
  <si>
    <t>kJ/kg</t>
  </si>
  <si>
    <r>
      <t>C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H</t>
    </r>
    <r>
      <rPr>
        <b/>
        <sz val="9"/>
        <color theme="1"/>
        <rFont val="Calibri"/>
        <family val="2"/>
        <scheme val="minor"/>
      </rPr>
      <t>2n+2</t>
    </r>
  </si>
  <si>
    <r>
      <t>C O</t>
    </r>
    <r>
      <rPr>
        <b/>
        <sz val="8"/>
        <color theme="1"/>
        <rFont val="Calibri"/>
        <family val="2"/>
        <scheme val="minor"/>
      </rPr>
      <t>2</t>
    </r>
  </si>
  <si>
    <r>
      <t>H</t>
    </r>
    <r>
      <rPr>
        <b/>
        <sz val="8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</t>
    </r>
  </si>
  <si>
    <t>Ma H  =</t>
  </si>
  <si>
    <t>Calor de formación</t>
  </si>
  <si>
    <t>O</t>
  </si>
  <si>
    <r>
      <t>d</t>
    </r>
    <r>
      <rPr>
        <b/>
        <sz val="8"/>
        <color theme="1"/>
        <rFont val="Calibri"/>
        <family val="2"/>
        <scheme val="minor"/>
      </rPr>
      <t xml:space="preserve">E                 </t>
    </r>
    <r>
      <rPr>
        <b/>
        <sz val="11"/>
        <color theme="1"/>
        <rFont val="Calibri"/>
        <family val="2"/>
        <scheme val="minor"/>
      </rPr>
      <t xml:space="preserve"> C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H</t>
    </r>
    <r>
      <rPr>
        <b/>
        <sz val="9"/>
        <color theme="1"/>
        <rFont val="Calibri"/>
        <family val="2"/>
        <scheme val="minor"/>
      </rPr>
      <t>2n+2</t>
    </r>
  </si>
  <si>
    <r>
      <t>d</t>
    </r>
    <r>
      <rPr>
        <b/>
        <sz val="8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 xml:space="preserve">            Total</t>
    </r>
  </si>
  <si>
    <t>Masa molecular</t>
  </si>
  <si>
    <t>Densidad energética</t>
  </si>
  <si>
    <t>Suma</t>
  </si>
  <si>
    <t>HIDRO-CARBURO</t>
  </si>
  <si>
    <t>suma</t>
  </si>
  <si>
    <t>Cobre</t>
  </si>
  <si>
    <t>Mercurio</t>
  </si>
  <si>
    <t>Sodio</t>
  </si>
  <si>
    <t>Cinc</t>
  </si>
  <si>
    <t>Longitud de onda en Aº</t>
  </si>
  <si>
    <t>Aluminio</t>
  </si>
  <si>
    <t>Cadmio</t>
  </si>
  <si>
    <t>h  =</t>
  </si>
  <si>
    <t>Constante de Planck:</t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</si>
  <si>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J s</t>
    </r>
    <r>
      <rPr>
        <sz val="11"/>
        <color theme="1"/>
        <rFont val="Times New Roman"/>
        <family val="1"/>
      </rPr>
      <t>]</t>
    </r>
  </si>
  <si>
    <t>Carga del electrón:</t>
  </si>
  <si>
    <t>e  =</t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</si>
  <si>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]</t>
    </r>
  </si>
  <si>
    <t>Elemento</t>
  </si>
  <si>
    <t>nm</t>
  </si>
  <si>
    <t>Hz</t>
  </si>
  <si>
    <r>
      <t>E</t>
    </r>
    <r>
      <rPr>
        <i/>
        <sz val="8"/>
        <color theme="1"/>
        <rFont val="Times New Roman"/>
        <family val="1"/>
      </rPr>
      <t>FT</t>
    </r>
  </si>
  <si>
    <r>
      <rPr>
        <b/>
        <i/>
        <sz val="11"/>
        <color theme="1"/>
        <rFont val="GreekS"/>
      </rPr>
      <t>l</t>
    </r>
    <r>
      <rPr>
        <i/>
        <sz val="11"/>
        <color theme="1"/>
        <rFont val="Times New Roman"/>
        <family val="1"/>
      </rPr>
      <t>o</t>
    </r>
  </si>
  <si>
    <r>
      <t>f</t>
    </r>
    <r>
      <rPr>
        <i/>
        <sz val="11"/>
        <color theme="1"/>
        <rFont val="Times New Roman"/>
        <family val="1"/>
      </rPr>
      <t>o</t>
    </r>
  </si>
  <si>
    <t>Ag</t>
  </si>
  <si>
    <t>Au</t>
  </si>
  <si>
    <t>Cu</t>
  </si>
  <si>
    <t>Al</t>
  </si>
  <si>
    <t>Fe</t>
  </si>
  <si>
    <t>Ni</t>
  </si>
  <si>
    <t>Pb</t>
  </si>
  <si>
    <t>Si</t>
  </si>
  <si>
    <t>Función trabajo y frecuencia umbral de algunos metales</t>
  </si>
  <si>
    <r>
      <t>Color (ongitud de onda) emitido por algunos metales en</t>
    </r>
    <r>
      <rPr>
        <b/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n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]</t>
    </r>
  </si>
  <si>
    <t>Velocidad de la luz:</t>
  </si>
  <si>
    <t>c  =</t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</si>
  <si>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m/s</t>
    </r>
    <r>
      <rPr>
        <sz val="11"/>
        <color theme="1"/>
        <rFont val="Times New Roman"/>
        <family val="1"/>
      </rPr>
      <t>]</t>
    </r>
  </si>
  <si>
    <r>
      <t xml:space="preserve">U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V</t>
    </r>
    <r>
      <rPr>
        <sz val="11"/>
        <color theme="1"/>
        <rFont val="Times New Roman"/>
        <family val="1"/>
      </rPr>
      <t>]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</si>
  <si>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V s</t>
    </r>
    <r>
      <rPr>
        <sz val="11"/>
        <color theme="1"/>
        <rFont val="Times New Roman"/>
        <family val="1"/>
      </rPr>
      <t>]</t>
    </r>
  </si>
  <si>
    <r>
      <rPr>
        <b/>
        <i/>
        <sz val="11"/>
        <color theme="1"/>
        <rFont val="GreekS"/>
      </rPr>
      <t>l</t>
    </r>
    <r>
      <rPr>
        <b/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nm</t>
    </r>
    <r>
      <rPr>
        <sz val="11"/>
        <color theme="1"/>
        <rFont val="Times New Roman"/>
        <family val="1"/>
      </rPr>
      <t>]</t>
    </r>
  </si>
  <si>
    <r>
      <t xml:space="preserve"> - U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V</t>
    </r>
    <r>
      <rPr>
        <sz val="11"/>
        <color theme="1"/>
        <rFont val="Times New Roman"/>
        <family val="1"/>
      </rPr>
      <t>]</t>
    </r>
  </si>
  <si>
    <t>Sn</t>
  </si>
  <si>
    <t>Na</t>
  </si>
  <si>
    <t>K</t>
  </si>
  <si>
    <t>Hg</t>
  </si>
  <si>
    <t>Cd</t>
  </si>
  <si>
    <r>
      <t>[</t>
    </r>
    <r>
      <rPr>
        <i/>
        <sz val="11"/>
        <color theme="1"/>
        <rFont val="Times New Roman"/>
        <family val="1"/>
      </rPr>
      <t>km</t>
    </r>
    <r>
      <rPr>
        <sz val="11"/>
        <color theme="1"/>
        <rFont val="Times New Roman"/>
        <family val="1"/>
      </rPr>
      <t>]</t>
    </r>
  </si>
  <si>
    <r>
      <rPr>
        <b/>
        <sz val="11"/>
        <color theme="1"/>
        <rFont val="GreekS"/>
      </rPr>
      <t>a</t>
    </r>
    <r>
      <rPr>
        <sz val="11"/>
        <color theme="1"/>
        <rFont val="Times New Roman"/>
        <family val="1"/>
      </rPr>
      <t xml:space="preserve"> [º</t>
    </r>
    <r>
      <rPr>
        <i/>
        <sz val="11"/>
        <color theme="1"/>
        <rFont val="Times New Roman"/>
        <family val="1"/>
      </rPr>
      <t>sex</t>
    </r>
    <r>
      <rPr>
        <sz val="11"/>
        <color theme="1"/>
        <rFont val="Times New Roman"/>
        <family val="1"/>
      </rPr>
      <t>]</t>
    </r>
  </si>
  <si>
    <r>
      <rPr>
        <b/>
        <sz val="11"/>
        <color theme="1"/>
        <rFont val="GreekS"/>
      </rPr>
      <t>a</t>
    </r>
    <r>
      <rPr>
        <sz val="11"/>
        <color theme="1"/>
        <rFont val="Times New Roman"/>
        <family val="1"/>
      </rPr>
      <t xml:space="preserve"> [</t>
    </r>
    <r>
      <rPr>
        <i/>
        <sz val="11"/>
        <color theme="1"/>
        <rFont val="Times New Roman"/>
        <family val="1"/>
      </rPr>
      <t>r</t>
    </r>
    <r>
      <rPr>
        <sz val="11"/>
        <color theme="1"/>
        <rFont val="Times New Roman"/>
        <family val="1"/>
      </rPr>
      <t>]</t>
    </r>
  </si>
  <si>
    <r>
      <t>R</t>
    </r>
    <r>
      <rPr>
        <b/>
        <i/>
        <sz val="8"/>
        <color theme="1"/>
        <rFont val="Times New Roman"/>
        <family val="1"/>
      </rPr>
      <t>TM  =</t>
    </r>
  </si>
  <si>
    <r>
      <rPr>
        <b/>
        <i/>
        <sz val="11"/>
        <color theme="1"/>
        <rFont val="Times New Roman"/>
        <family val="1"/>
      </rPr>
      <t>R</t>
    </r>
    <r>
      <rPr>
        <b/>
        <i/>
        <sz val="8"/>
        <color theme="1"/>
        <rFont val="Times New Roman"/>
        <family val="1"/>
      </rPr>
      <t>TP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 xml:space="preserve"> =  b</t>
    </r>
  </si>
  <si>
    <r>
      <rPr>
        <b/>
        <i/>
        <sz val="11"/>
        <color theme="1"/>
        <rFont val="Times New Roman"/>
        <family val="1"/>
      </rPr>
      <t>R</t>
    </r>
    <r>
      <rPr>
        <b/>
        <i/>
        <sz val="8"/>
        <color theme="1"/>
        <rFont val="Times New Roman"/>
        <family val="1"/>
      </rPr>
      <t>TE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 xml:space="preserve">  =  a</t>
    </r>
  </si>
  <si>
    <r>
      <t>cos</t>
    </r>
    <r>
      <rPr>
        <sz val="11"/>
        <color theme="1"/>
        <rFont val="Calibri"/>
        <family val="2"/>
      </rPr>
      <t>²</t>
    </r>
    <r>
      <rPr>
        <sz val="11"/>
        <color theme="1"/>
        <rFont val="Times New Roman"/>
        <family val="1"/>
      </rPr>
      <t>(</t>
    </r>
    <r>
      <rPr>
        <b/>
        <sz val="11"/>
        <color theme="1"/>
        <rFont val="GreekS"/>
      </rPr>
      <t>a</t>
    </r>
    <r>
      <rPr>
        <sz val="11"/>
        <color theme="1"/>
        <rFont val="Times New Roman"/>
        <family val="1"/>
      </rPr>
      <t>)</t>
    </r>
  </si>
  <si>
    <r>
      <t>R</t>
    </r>
    <r>
      <rPr>
        <b/>
        <i/>
        <sz val="8"/>
        <color theme="1"/>
        <rFont val="Times New Roman"/>
        <family val="1"/>
      </rPr>
      <t>T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GreekS"/>
      </rPr>
      <t>a</t>
    </r>
    <r>
      <rPr>
        <b/>
        <sz val="11"/>
        <color theme="1"/>
        <rFont val="Times New Roman"/>
        <family val="1"/>
      </rPr>
      <t xml:space="preserve">)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km</t>
    </r>
    <r>
      <rPr>
        <sz val="11"/>
        <color theme="1"/>
        <rFont val="Times New Roman"/>
        <family val="1"/>
      </rPr>
      <t>]</t>
    </r>
  </si>
  <si>
    <t>mn</t>
  </si>
  <si>
    <t>May</t>
  </si>
  <si>
    <t>Jun</t>
  </si>
  <si>
    <t>Jul</t>
  </si>
  <si>
    <t>Ago</t>
  </si>
  <si>
    <t>Sep</t>
  </si>
  <si>
    <t>Nov</t>
  </si>
  <si>
    <t>Dic</t>
  </si>
  <si>
    <t>Ene</t>
  </si>
  <si>
    <t>Feb</t>
  </si>
  <si>
    <t>Mar</t>
  </si>
  <si>
    <t>Abr</t>
  </si>
  <si>
    <t>AÑO</t>
  </si>
  <si>
    <t>Oct</t>
  </si>
  <si>
    <t>SUMA</t>
  </si>
  <si>
    <t>H  =</t>
  </si>
  <si>
    <t>m</t>
  </si>
  <si>
    <t>%</t>
  </si>
  <si>
    <t>Probabilididad hidrológica de cálculo:</t>
  </si>
  <si>
    <t>fp  =</t>
  </si>
  <si>
    <r>
      <t>p</t>
    </r>
    <r>
      <rPr>
        <b/>
        <i/>
        <sz val="8"/>
        <color theme="1"/>
        <rFont val="Times New Roman"/>
        <family val="1"/>
      </rPr>
      <t>H</t>
    </r>
    <r>
      <rPr>
        <b/>
        <i/>
        <sz val="11"/>
        <color theme="1"/>
        <rFont val="Times New Roman"/>
        <family val="1"/>
      </rPr>
      <t xml:space="preserve">  =</t>
    </r>
  </si>
  <si>
    <r>
      <t>e</t>
    </r>
    <r>
      <rPr>
        <b/>
        <sz val="11"/>
        <color theme="1"/>
        <rFont val="Times New Roman"/>
        <family val="1"/>
      </rPr>
      <t xml:space="preserve">  =</t>
    </r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</si>
  <si>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</si>
  <si>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</si>
  <si>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</si>
  <si>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</si>
  <si>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</si>
  <si>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</si>
  <si>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</si>
  <si>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</si>
  <si>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</si>
  <si>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</si>
  <si>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</si>
  <si>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</si>
  <si>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Q (90%)</t>
  </si>
  <si>
    <t>t</t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</si>
  <si>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l/s</t>
    </r>
    <r>
      <rPr>
        <sz val="11"/>
        <color theme="1"/>
        <rFont val="Times New Roman"/>
        <family val="1"/>
      </rPr>
      <t>]</t>
    </r>
  </si>
  <si>
    <t>Ea</t>
  </si>
  <si>
    <r>
      <rPr>
        <b/>
        <i/>
        <sz val="11"/>
        <color theme="1"/>
        <rFont val="GreekS"/>
      </rPr>
      <t>d</t>
    </r>
    <r>
      <rPr>
        <b/>
        <i/>
        <sz val="11"/>
        <color theme="1"/>
        <rFont val="Times New Roman"/>
        <family val="1"/>
      </rPr>
      <t>a  =</t>
    </r>
  </si>
  <si>
    <r>
      <t>kg/m</t>
    </r>
    <r>
      <rPr>
        <sz val="11"/>
        <color theme="1"/>
        <rFont val="Calibri"/>
        <family val="2"/>
      </rPr>
      <t>³</t>
    </r>
  </si>
  <si>
    <r>
      <t>m/s</t>
    </r>
    <r>
      <rPr>
        <sz val="11"/>
        <color theme="1"/>
        <rFont val="Calibri"/>
        <family val="2"/>
      </rPr>
      <t>²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</si>
  <si>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MW h</t>
    </r>
    <r>
      <rPr>
        <sz val="11"/>
        <color theme="1"/>
        <rFont val="Times New Roman"/>
        <family val="1"/>
      </rPr>
      <t>]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</si>
  <si>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Calibri"/>
        <family val="2"/>
      </rPr>
      <t>³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</si>
  <si>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d/mes</t>
    </r>
    <r>
      <rPr>
        <sz val="11"/>
        <color theme="1"/>
        <rFont val="Times New Roman"/>
        <family val="1"/>
      </rPr>
      <t>]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</si>
  <si>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Calibri"/>
        <family val="2"/>
      </rPr>
      <t>³</t>
    </r>
    <r>
      <rPr>
        <i/>
        <sz val="11"/>
        <color theme="1"/>
        <rFont val="Times New Roman"/>
        <family val="1"/>
      </rPr>
      <t>/mes</t>
    </r>
    <r>
      <rPr>
        <sz val="11"/>
        <color theme="1"/>
        <rFont val="Times New Roman"/>
        <family val="1"/>
      </rPr>
      <t>]</t>
    </r>
  </si>
  <si>
    <r>
      <rPr>
        <b/>
        <sz val="11"/>
        <color theme="1"/>
        <rFont val="GreekS"/>
      </rPr>
      <t>D</t>
    </r>
    <r>
      <rPr>
        <b/>
        <i/>
        <sz val="11"/>
        <color theme="1"/>
        <rFont val="Times New Roman"/>
        <family val="1"/>
      </rPr>
      <t>Vefl.</t>
    </r>
  </si>
  <si>
    <t>Vemb.</t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</si>
  <si>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³]</t>
    </r>
  </si>
  <si>
    <t>Mes</t>
  </si>
  <si>
    <t>fc  =</t>
  </si>
  <si>
    <r>
      <t>E</t>
    </r>
    <r>
      <rPr>
        <b/>
        <i/>
        <sz val="8"/>
        <color theme="1"/>
        <rFont val="Times New Roman"/>
        <family val="1"/>
      </rPr>
      <t>a</t>
    </r>
    <r>
      <rPr>
        <b/>
        <i/>
        <sz val="11"/>
        <color theme="1"/>
        <rFont val="Times New Roman"/>
        <family val="1"/>
      </rPr>
      <t xml:space="preserve">  =</t>
    </r>
  </si>
  <si>
    <r>
      <t>P</t>
    </r>
    <r>
      <rPr>
        <b/>
        <i/>
        <sz val="8"/>
        <color theme="1"/>
        <rFont val="Times New Roman"/>
        <family val="1"/>
      </rPr>
      <t>máx</t>
    </r>
    <r>
      <rPr>
        <b/>
        <i/>
        <sz val="11"/>
        <color theme="1"/>
        <rFont val="Times New Roman"/>
        <family val="1"/>
      </rPr>
      <t xml:space="preserve">  =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</si>
  <si>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MW</t>
    </r>
    <r>
      <rPr>
        <sz val="11"/>
        <color theme="1"/>
        <rFont val="Times New Roman"/>
        <family val="1"/>
      </rPr>
      <t>]</t>
    </r>
  </si>
  <si>
    <r>
      <t>P</t>
    </r>
    <r>
      <rPr>
        <b/>
        <i/>
        <sz val="8"/>
        <color theme="1"/>
        <rFont val="Times New Roman"/>
        <family val="1"/>
      </rPr>
      <t>nom</t>
    </r>
    <r>
      <rPr>
        <b/>
        <i/>
        <sz val="11"/>
        <color theme="1"/>
        <rFont val="Times New Roman"/>
        <family val="1"/>
      </rPr>
      <t xml:space="preserve">  =</t>
    </r>
  </si>
  <si>
    <t>¿Qué potencia instalada debe tener la central?</t>
  </si>
  <si>
    <t>Altura nominal de caída:</t>
  </si>
  <si>
    <t>Densidad del agua:</t>
  </si>
  <si>
    <t>Aceleración de gravedad:</t>
  </si>
  <si>
    <t>Factor de planta:</t>
  </si>
  <si>
    <t>Factor de carga:</t>
  </si>
  <si>
    <t>¿Qué demanda máxima soportará la central?</t>
  </si>
  <si>
    <t>SUMAS:</t>
  </si>
  <si>
    <r>
      <t>V</t>
    </r>
    <r>
      <rPr>
        <b/>
        <i/>
        <sz val="8"/>
        <color theme="1"/>
        <rFont val="Times New Roman"/>
        <family val="1"/>
      </rPr>
      <t>emb</t>
    </r>
    <r>
      <rPr>
        <b/>
        <i/>
        <sz val="11"/>
        <color theme="1"/>
        <rFont val="Times New Roman"/>
        <family val="1"/>
      </rPr>
      <t xml:space="preserve">  &gt;</t>
    </r>
  </si>
  <si>
    <t>¿Qué capacidad de acumulación mímima debe tener el embalse?</t>
  </si>
  <si>
    <r>
      <t>V</t>
    </r>
    <r>
      <rPr>
        <b/>
        <i/>
        <sz val="10"/>
        <color theme="1"/>
        <rFont val="Times New Roman"/>
        <family val="1"/>
      </rPr>
      <t>afl</t>
    </r>
    <r>
      <rPr>
        <b/>
        <i/>
        <sz val="11"/>
        <color theme="1"/>
        <rFont val="Times New Roman"/>
        <family val="1"/>
      </rPr>
      <t>=</t>
    </r>
    <r>
      <rPr>
        <sz val="12"/>
        <color theme="1"/>
        <rFont val="Calibri"/>
        <family val="2"/>
      </rPr>
      <t>Σ</t>
    </r>
    <r>
      <rPr>
        <b/>
        <i/>
        <sz val="11"/>
        <color theme="1"/>
        <rFont val="Times New Roman"/>
        <family val="1"/>
      </rPr>
      <t>Q*t</t>
    </r>
  </si>
  <si>
    <t>Vefl.</t>
  </si>
  <si>
    <t>¿Con la probabilidad indicada, cuánta energía mensual y anual puede generar esta central?</t>
  </si>
  <si>
    <t>1.1.</t>
  </si>
  <si>
    <t>1.2.</t>
  </si>
  <si>
    <t>1.3.</t>
  </si>
  <si>
    <t>1.4.</t>
  </si>
  <si>
    <t>Eficiencia energética global de la central:</t>
  </si>
  <si>
    <t>Datos del proyecto:</t>
  </si>
  <si>
    <t>Preguntas:</t>
  </si>
  <si>
    <t>Respuestas:</t>
  </si>
  <si>
    <r>
      <t xml:space="preserve">CAUDAL   MENUSAL  RÍO  LAUCA  SEGÚN  ESTADÍSTICAS  DE  DIEZ  AÑOS:  (Cifras en  </t>
    </r>
    <r>
      <rPr>
        <b/>
        <sz val="14"/>
        <color theme="1"/>
        <rFont val="Times New Roman"/>
        <family val="1"/>
      </rPr>
      <t xml:space="preserve"> [</t>
    </r>
    <r>
      <rPr>
        <b/>
        <i/>
        <sz val="14"/>
        <color theme="1"/>
        <rFont val="Times New Roman"/>
        <family val="1"/>
      </rPr>
      <t>l/s</t>
    </r>
    <r>
      <rPr>
        <b/>
        <sz val="14"/>
        <color theme="1"/>
        <rFont val="Times New Roman"/>
        <family val="1"/>
      </rPr>
      <t>]</t>
    </r>
    <r>
      <rPr>
        <b/>
        <sz val="14"/>
        <color theme="1"/>
        <rFont val="Calibri"/>
        <family val="2"/>
      </rPr>
      <t>)</t>
    </r>
  </si>
  <si>
    <t>mA N2  =</t>
  </si>
  <si>
    <t>mA O2  =</t>
  </si>
  <si>
    <t>V  =</t>
  </si>
  <si>
    <t>l/mol</t>
  </si>
  <si>
    <t>Turbina ENAIR:</t>
  </si>
  <si>
    <t>kW</t>
  </si>
  <si>
    <t>m/s</t>
  </si>
  <si>
    <r>
      <t>P</t>
    </r>
    <r>
      <rPr>
        <b/>
        <i/>
        <sz val="8"/>
        <color theme="1"/>
        <rFont val="Times New Roman"/>
        <family val="1"/>
      </rPr>
      <t>n</t>
    </r>
    <r>
      <rPr>
        <b/>
        <i/>
        <sz val="11"/>
        <color theme="1"/>
        <rFont val="Times New Roman"/>
        <family val="1"/>
      </rPr>
      <t xml:space="preserve">  =</t>
    </r>
  </si>
  <si>
    <r>
      <t>v</t>
    </r>
    <r>
      <rPr>
        <b/>
        <i/>
        <sz val="8"/>
        <color theme="1"/>
        <rFont val="Times New Roman"/>
        <family val="1"/>
      </rPr>
      <t>n</t>
    </r>
    <r>
      <rPr>
        <b/>
        <i/>
        <sz val="11"/>
        <color theme="1"/>
        <rFont val="Times New Roman"/>
        <family val="1"/>
      </rPr>
      <t xml:space="preserve">  =</t>
    </r>
  </si>
  <si>
    <r>
      <t>m</t>
    </r>
    <r>
      <rPr>
        <sz val="11"/>
        <color theme="1"/>
        <rFont val="Calibri"/>
        <family val="2"/>
      </rPr>
      <t>²</t>
    </r>
  </si>
  <si>
    <r>
      <rPr>
        <b/>
        <sz val="11"/>
        <color theme="1"/>
        <rFont val="GreekS"/>
      </rPr>
      <t>F</t>
    </r>
    <r>
      <rPr>
        <b/>
        <i/>
        <sz val="8"/>
        <color theme="1"/>
        <rFont val="Times New Roman"/>
        <family val="1"/>
      </rPr>
      <t>med</t>
    </r>
    <r>
      <rPr>
        <b/>
        <i/>
        <sz val="11"/>
        <color theme="1"/>
        <rFont val="Times New Roman"/>
        <family val="1"/>
      </rPr>
      <t xml:space="preserve">  =</t>
    </r>
  </si>
  <si>
    <t>Densidad del aire:</t>
  </si>
  <si>
    <t>g/l  ó kg/m³</t>
  </si>
  <si>
    <r>
      <rPr>
        <b/>
        <sz val="11"/>
        <color theme="1"/>
        <rFont val="GreekS"/>
      </rPr>
      <t>F</t>
    </r>
    <r>
      <rPr>
        <b/>
        <i/>
        <sz val="8"/>
        <color theme="1"/>
        <rFont val="Times New Roman"/>
        <family val="1"/>
      </rPr>
      <t>ext</t>
    </r>
    <r>
      <rPr>
        <b/>
        <i/>
        <sz val="11"/>
        <color theme="1"/>
        <rFont val="Times New Roman"/>
        <family val="1"/>
      </rPr>
      <t xml:space="preserve">  =</t>
    </r>
  </si>
  <si>
    <t>Coef. Lím de Betz:</t>
  </si>
  <si>
    <r>
      <t>d</t>
    </r>
    <r>
      <rPr>
        <b/>
        <i/>
        <sz val="8"/>
        <color theme="1"/>
        <rFont val="Times New Roman"/>
        <family val="1"/>
      </rPr>
      <t>a</t>
    </r>
    <r>
      <rPr>
        <b/>
        <i/>
        <sz val="11"/>
        <color theme="1"/>
        <rFont val="Times New Roman"/>
        <family val="1"/>
      </rPr>
      <t xml:space="preserve">  =</t>
    </r>
  </si>
  <si>
    <r>
      <rPr>
        <b/>
        <sz val="11"/>
        <color theme="1"/>
        <rFont val="GreekS"/>
      </rPr>
      <t>b</t>
    </r>
    <r>
      <rPr>
        <b/>
        <i/>
        <sz val="8"/>
        <color theme="1"/>
        <rFont val="Times New Roman"/>
        <family val="1"/>
      </rPr>
      <t>B</t>
    </r>
    <r>
      <rPr>
        <b/>
        <sz val="11"/>
        <color theme="1"/>
        <rFont val="Times New Roman"/>
        <family val="1"/>
      </rPr>
      <t xml:space="preserve">  =</t>
    </r>
  </si>
  <si>
    <r>
      <rPr>
        <b/>
        <sz val="11"/>
        <color theme="1"/>
        <rFont val="GreekS"/>
      </rPr>
      <t>r</t>
    </r>
    <r>
      <rPr>
        <b/>
        <sz val="11"/>
        <color theme="1"/>
        <rFont val="Times New Roman"/>
        <family val="1"/>
      </rPr>
      <t xml:space="preserve">  =</t>
    </r>
  </si>
  <si>
    <t>Masa molecular del nitrógeno:</t>
  </si>
  <si>
    <t>Masa molecular del oxígeno:</t>
  </si>
  <si>
    <r>
      <t>mMa  = 0,78 mMN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+ 0,22 mMO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=</t>
    </r>
  </si>
  <si>
    <r>
      <t>P</t>
    </r>
    <r>
      <rPr>
        <b/>
        <i/>
        <sz val="8"/>
        <color theme="1"/>
        <rFont val="Times New Roman"/>
        <family val="1"/>
      </rPr>
      <t>M</t>
    </r>
    <r>
      <rPr>
        <b/>
        <i/>
        <sz val="11"/>
        <color theme="1"/>
        <rFont val="Times New Roman"/>
        <family val="1"/>
      </rPr>
      <t xml:space="preserve">  =</t>
    </r>
  </si>
  <si>
    <t>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</si>
  <si>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</si>
  <si>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</si>
  <si>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</si>
  <si>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</si>
  <si>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</si>
  <si>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</si>
  <si>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</si>
  <si>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</si>
  <si>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</si>
  <si>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</si>
  <si>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</si>
  <si>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</si>
  <si>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Chana:</t>
  </si>
  <si>
    <t>D  =</t>
  </si>
  <si>
    <r>
      <rPr>
        <b/>
        <sz val="11"/>
        <color theme="1"/>
        <rFont val="GreekS"/>
      </rPr>
      <t>a</t>
    </r>
    <r>
      <rPr>
        <b/>
        <sz val="11"/>
        <color theme="1"/>
        <rFont val="Calibri"/>
        <family val="2"/>
        <scheme val="minor"/>
      </rPr>
      <t xml:space="preserve">  =</t>
    </r>
  </si>
  <si>
    <t>DA  =</t>
  </si>
  <si>
    <t>DB  =</t>
  </si>
  <si>
    <t>v</t>
  </si>
  <si>
    <r>
      <t xml:space="preserve">h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]</t>
    </r>
    <r>
      <rPr>
        <i/>
        <sz val="11"/>
        <color theme="1"/>
        <rFont val="Times New Roman"/>
        <family val="1"/>
      </rPr>
      <t xml:space="preserve"> snm</t>
    </r>
  </si>
  <si>
    <t>Casa de Pesca:</t>
  </si>
  <si>
    <r>
      <t xml:space="preserve">v </t>
    </r>
    <r>
      <rPr>
        <b/>
        <i/>
        <sz val="8"/>
        <color theme="1"/>
        <rFont val="Times New Roman"/>
        <family val="1"/>
      </rPr>
      <t>med</t>
    </r>
    <r>
      <rPr>
        <b/>
        <i/>
        <sz val="11"/>
        <color theme="1"/>
        <rFont val="Times New Roman"/>
        <family val="1"/>
      </rPr>
      <t xml:space="preserve"> =</t>
    </r>
  </si>
  <si>
    <r>
      <t xml:space="preserve">v </t>
    </r>
    <r>
      <rPr>
        <b/>
        <i/>
        <sz val="8"/>
        <color theme="1"/>
        <rFont val="Times New Roman"/>
        <family val="1"/>
      </rPr>
      <t xml:space="preserve">máx </t>
    </r>
    <r>
      <rPr>
        <b/>
        <i/>
        <sz val="11"/>
        <color theme="1"/>
        <rFont val="Times New Roman"/>
        <family val="1"/>
      </rPr>
      <t>=</t>
    </r>
  </si>
  <si>
    <r>
      <t>H</t>
    </r>
    <r>
      <rPr>
        <b/>
        <i/>
        <sz val="8"/>
        <color theme="1"/>
        <rFont val="Times New Roman"/>
        <family val="1"/>
      </rPr>
      <t>o</t>
    </r>
    <r>
      <rPr>
        <b/>
        <i/>
        <sz val="11"/>
        <color theme="1"/>
        <rFont val="Times New Roman"/>
        <family val="1"/>
      </rPr>
      <t xml:space="preserve">  =</t>
    </r>
  </si>
  <si>
    <r>
      <t>h =H</t>
    </r>
    <r>
      <rPr>
        <b/>
        <i/>
        <sz val="8"/>
        <color theme="1"/>
        <rFont val="Times New Roman"/>
        <family val="1"/>
      </rPr>
      <t>T</t>
    </r>
    <r>
      <rPr>
        <b/>
        <i/>
        <sz val="11"/>
        <color theme="1"/>
        <rFont val="Times New Roman"/>
        <family val="1"/>
      </rPr>
      <t>+H</t>
    </r>
    <r>
      <rPr>
        <b/>
        <i/>
        <sz val="8"/>
        <color theme="1"/>
        <rFont val="Times New Roman"/>
        <family val="1"/>
      </rPr>
      <t>o</t>
    </r>
  </si>
  <si>
    <r>
      <t>H</t>
    </r>
    <r>
      <rPr>
        <b/>
        <i/>
        <sz val="8"/>
        <color theme="1"/>
        <rFont val="Times New Roman"/>
        <family val="1"/>
      </rPr>
      <t>T</t>
    </r>
    <r>
      <rPr>
        <b/>
        <i/>
        <sz val="11"/>
        <color theme="1"/>
        <rFont val="Times New Roman"/>
        <family val="1"/>
      </rPr>
      <t xml:space="preserve">  =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</si>
  <si>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]</t>
    </r>
  </si>
  <si>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] msn</t>
    </r>
  </si>
  <si>
    <r>
      <t xml:space="preserve">v </t>
    </r>
    <r>
      <rPr>
        <b/>
        <i/>
        <sz val="8"/>
        <color theme="1"/>
        <rFont val="Times New Roman"/>
        <family val="1"/>
      </rPr>
      <t>máx</t>
    </r>
    <r>
      <rPr>
        <b/>
        <i/>
        <sz val="11"/>
        <color theme="1"/>
        <rFont val="Times New Roman"/>
        <family val="1"/>
      </rPr>
      <t xml:space="preserve">  =</t>
    </r>
  </si>
  <si>
    <t>Ln (vH)  =</t>
  </si>
  <si>
    <t>vH  =</t>
  </si>
  <si>
    <t>ESTÁDISTICAS Y CRITERIO DE CÁLCULO VIENTOS EN COSTA OCCIDENTAL AL NORTE DE CHAITÉN</t>
  </si>
  <si>
    <t>VELOCIDAD  DEL  VIENTO  MEDIO  MENSUAL  EN  CASA  DE  PESCA</t>
  </si>
  <si>
    <t>PERFIL  DIARIO VELOCIDAD MEDIA</t>
  </si>
  <si>
    <r>
      <t xml:space="preserve">h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]</t>
    </r>
    <r>
      <rPr>
        <b/>
        <sz val="11"/>
        <color theme="1"/>
        <rFont val="Calibri"/>
        <family val="2"/>
        <scheme val="minor"/>
      </rPr>
      <t xml:space="preserve"> s.n.m.</t>
    </r>
  </si>
  <si>
    <r>
      <t>v</t>
    </r>
    <r>
      <rPr>
        <b/>
        <i/>
        <sz val="8"/>
        <color theme="1"/>
        <rFont val="Times New Roman"/>
        <family val="1"/>
      </rPr>
      <t>1</t>
    </r>
  </si>
  <si>
    <r>
      <t>v</t>
    </r>
    <r>
      <rPr>
        <b/>
        <i/>
        <sz val="8"/>
        <color theme="1"/>
        <rFont val="Times New Roman"/>
        <family val="1"/>
      </rPr>
      <t>2</t>
    </r>
  </si>
  <si>
    <t>h</t>
  </si>
  <si>
    <r>
      <t>[</t>
    </r>
    <r>
      <rPr>
        <sz val="10"/>
        <color theme="1"/>
        <rFont val="Times New Roman"/>
        <family val="1"/>
      </rPr>
      <t>0/1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</si>
  <si>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m/s</t>
    </r>
    <r>
      <rPr>
        <sz val="11"/>
        <color theme="1"/>
        <rFont val="Times New Roman"/>
        <family val="1"/>
      </rPr>
      <t>]</t>
    </r>
  </si>
  <si>
    <t>Potencia media efectiva del aerogenerador:</t>
  </si>
  <si>
    <r>
      <t>[</t>
    </r>
    <r>
      <rPr>
        <i/>
        <sz val="11"/>
        <color theme="1"/>
        <rFont val="Times New Roman"/>
        <family val="1"/>
      </rPr>
      <t>kW</t>
    </r>
    <r>
      <rPr>
        <sz val="11"/>
        <color theme="1"/>
        <rFont val="Times New Roman"/>
        <family val="1"/>
      </rPr>
      <t>]</t>
    </r>
  </si>
  <si>
    <t>Aerogenerador:</t>
  </si>
  <si>
    <t>Energía media diaria y anual:</t>
  </si>
  <si>
    <r>
      <t>[</t>
    </r>
    <r>
      <rPr>
        <i/>
        <sz val="11"/>
        <color theme="1"/>
        <rFont val="Times New Roman"/>
        <family val="1"/>
      </rPr>
      <t>kW h/d</t>
    </r>
    <r>
      <rPr>
        <sz val="11"/>
        <color theme="1"/>
        <rFont val="Times New Roman"/>
        <family val="1"/>
      </rPr>
      <t>]</t>
    </r>
  </si>
  <si>
    <r>
      <t>D</t>
    </r>
    <r>
      <rPr>
        <b/>
        <i/>
        <sz val="11"/>
        <color theme="1"/>
        <rFont val="Times New Roman"/>
        <family val="1"/>
      </rPr>
      <t xml:space="preserve">  =</t>
    </r>
  </si>
  <si>
    <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</si>
  <si>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kW h/a</t>
    </r>
    <r>
      <rPr>
        <sz val="11"/>
        <color theme="1"/>
        <rFont val="Times New Roman"/>
        <family val="1"/>
      </rPr>
      <t>]</t>
    </r>
  </si>
  <si>
    <r>
      <t>v</t>
    </r>
    <r>
      <rPr>
        <b/>
        <i/>
        <sz val="8"/>
        <color theme="1"/>
        <rFont val="Times New Roman"/>
        <family val="1"/>
      </rPr>
      <t>m</t>
    </r>
    <r>
      <rPr>
        <b/>
        <i/>
        <sz val="11"/>
        <color theme="1"/>
        <rFont val="Times New Roman"/>
        <family val="1"/>
      </rPr>
      <t xml:space="preserve">  =</t>
    </r>
  </si>
  <si>
    <t>Volumen relativo de nitrógeno:</t>
  </si>
  <si>
    <r>
      <t>Vol N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≈</t>
    </r>
  </si>
  <si>
    <t>[%]</t>
  </si>
  <si>
    <r>
      <rPr>
        <b/>
        <sz val="11"/>
        <color theme="1"/>
        <rFont val="GreekC"/>
      </rPr>
      <t>r</t>
    </r>
    <r>
      <rPr>
        <b/>
        <i/>
        <sz val="8"/>
        <color theme="1"/>
        <rFont val="Times New Roman"/>
        <family val="1"/>
      </rPr>
      <t>n</t>
    </r>
    <r>
      <rPr>
        <b/>
        <i/>
        <sz val="11"/>
        <color theme="1"/>
        <rFont val="Times New Roman"/>
        <family val="1"/>
      </rPr>
      <t xml:space="preserve">  =</t>
    </r>
  </si>
  <si>
    <t>Volumen relativo de oxígeno:</t>
  </si>
  <si>
    <r>
      <t>Vol O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≈</t>
    </r>
  </si>
  <si>
    <t>Volumen relativo de argón:</t>
  </si>
  <si>
    <t>Vol Ar  ≈</t>
  </si>
  <si>
    <r>
      <rPr>
        <b/>
        <sz val="11"/>
        <color theme="1"/>
        <rFont val="GreekC"/>
      </rPr>
      <t>b</t>
    </r>
    <r>
      <rPr>
        <b/>
        <sz val="8"/>
        <color theme="1"/>
        <rFont val="GreekC"/>
      </rPr>
      <t>B</t>
    </r>
    <r>
      <rPr>
        <b/>
        <i/>
        <sz val="11"/>
        <color theme="1"/>
        <rFont val="Times New Roman"/>
        <family val="1"/>
      </rPr>
      <t xml:space="preserve">  =</t>
    </r>
  </si>
  <si>
    <t>m N2  =</t>
  </si>
  <si>
    <r>
      <t>d</t>
    </r>
    <r>
      <rPr>
        <b/>
        <i/>
        <sz val="8"/>
        <color theme="1"/>
        <rFont val="Times New Roman"/>
        <family val="1"/>
      </rPr>
      <t>A</t>
    </r>
    <r>
      <rPr>
        <b/>
        <i/>
        <sz val="11"/>
        <color theme="1"/>
        <rFont val="Times New Roman"/>
        <family val="1"/>
      </rPr>
      <t xml:space="preserve">  =</t>
    </r>
  </si>
  <si>
    <t>m O2  =</t>
  </si>
  <si>
    <t>Masa molecular del argón:</t>
  </si>
  <si>
    <t>m AR  =</t>
  </si>
  <si>
    <r>
      <t>mMA  = 0,78 m N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+ 0,21 m O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>+0,01 m Ar  =</t>
    </r>
  </si>
  <si>
    <t>V mol =</t>
  </si>
  <si>
    <t>vmáx</t>
  </si>
  <si>
    <t>vmed</t>
  </si>
  <si>
    <t>vmed^3</t>
  </si>
  <si>
    <t>v30 m</t>
  </si>
  <si>
    <t>v15 m</t>
  </si>
  <si>
    <t>v16 m</t>
  </si>
  <si>
    <t>PERFIL  DIARIO CARACTERÍSTICO</t>
  </si>
  <si>
    <r>
      <t>v</t>
    </r>
    <r>
      <rPr>
        <b/>
        <i/>
        <sz val="8"/>
        <color theme="1"/>
        <rFont val="Times New Roman"/>
        <family val="1"/>
      </rPr>
      <t>máx</t>
    </r>
  </si>
  <si>
    <r>
      <t>v</t>
    </r>
    <r>
      <rPr>
        <b/>
        <i/>
        <sz val="8"/>
        <color theme="1"/>
        <rFont val="Times New Roman"/>
        <family val="1"/>
      </rPr>
      <t>1med</t>
    </r>
  </si>
  <si>
    <r>
      <t>v</t>
    </r>
    <r>
      <rPr>
        <b/>
        <i/>
        <sz val="8"/>
        <color theme="1"/>
        <rFont val="Times New Roman"/>
        <family val="1"/>
      </rPr>
      <t>2med</t>
    </r>
  </si>
  <si>
    <t>PERFIL  DIARIO  MEDIO  CARACERÍSTICO</t>
  </si>
  <si>
    <r>
      <rPr>
        <b/>
        <sz val="11"/>
        <color theme="1"/>
        <rFont val="GreekC"/>
      </rPr>
      <t>a</t>
    </r>
    <r>
      <rPr>
        <b/>
        <sz val="11"/>
        <color theme="1"/>
        <rFont val="Calibri"/>
        <family val="2"/>
        <scheme val="minor"/>
      </rPr>
      <t xml:space="preserve">  =</t>
    </r>
  </si>
  <si>
    <r>
      <t>v</t>
    </r>
    <r>
      <rPr>
        <b/>
        <i/>
        <sz val="8"/>
        <color theme="1"/>
        <rFont val="Times New Roman"/>
        <family val="1"/>
      </rPr>
      <t>1med</t>
    </r>
    <r>
      <rPr>
        <b/>
        <i/>
        <sz val="11"/>
        <color theme="1"/>
        <rFont val="Times New Roman"/>
        <family val="1"/>
      </rPr>
      <t xml:space="preserve">  =</t>
    </r>
  </si>
  <si>
    <r>
      <t>v</t>
    </r>
    <r>
      <rPr>
        <b/>
        <i/>
        <sz val="8"/>
        <color theme="1"/>
        <rFont val="Times New Roman"/>
        <family val="1"/>
      </rPr>
      <t>2med</t>
    </r>
    <r>
      <rPr>
        <b/>
        <i/>
        <sz val="11"/>
        <color theme="1"/>
        <rFont val="Times New Roman"/>
        <family val="1"/>
      </rPr>
      <t xml:space="preserve">  =</t>
    </r>
  </si>
  <si>
    <t>hrs.:</t>
  </si>
  <si>
    <r>
      <t>v</t>
    </r>
    <r>
      <rPr>
        <b/>
        <i/>
        <sz val="8"/>
        <color theme="1"/>
        <rFont val="Times New Roman"/>
        <family val="1"/>
      </rPr>
      <t>med</t>
    </r>
  </si>
  <si>
    <r>
      <t>v</t>
    </r>
    <r>
      <rPr>
        <b/>
        <i/>
        <sz val="8"/>
        <color theme="1"/>
        <rFont val="Times New Roman"/>
        <family val="1"/>
      </rPr>
      <t>med^3</t>
    </r>
  </si>
  <si>
    <r>
      <rPr>
        <b/>
        <sz val="11"/>
        <color theme="1"/>
        <rFont val="GreekC"/>
      </rPr>
      <t xml:space="preserve">S </t>
    </r>
    <r>
      <rPr>
        <b/>
        <i/>
        <sz val="11"/>
        <color theme="1"/>
        <rFont val="Times New Roman"/>
        <family val="1"/>
      </rPr>
      <t xml:space="preserve"> =</t>
    </r>
  </si>
  <si>
    <t>PERFIL  DIARIO  MEDIO  CARACERÍSTICO  A  16  [m] s.n.m.</t>
  </si>
  <si>
    <t>VELOCIDAD  DEL  VIENTO  MEDIO  MENSUAL  A  16 [m] s.n.m.</t>
  </si>
  <si>
    <r>
      <t xml:space="preserve">h </t>
    </r>
    <r>
      <rPr>
        <sz val="10"/>
        <color theme="1"/>
        <rFont val="Times New Roman"/>
        <family val="1"/>
      </rPr>
      <t>[</t>
    </r>
    <r>
      <rPr>
        <i/>
        <sz val="10"/>
        <color theme="1"/>
        <rFont val="Times New Roman"/>
        <family val="1"/>
      </rPr>
      <t>m</t>
    </r>
    <r>
      <rPr>
        <sz val="10"/>
        <color theme="1"/>
        <rFont val="Times New Roman"/>
        <family val="1"/>
      </rPr>
      <t>]</t>
    </r>
    <r>
      <rPr>
        <b/>
        <sz val="10"/>
        <color theme="1"/>
        <rFont val="Calibri"/>
        <family val="2"/>
        <scheme val="minor"/>
      </rPr>
      <t xml:space="preserve"> s.n.m.</t>
    </r>
  </si>
  <si>
    <r>
      <t>Q</t>
    </r>
    <r>
      <rPr>
        <sz val="11"/>
        <color theme="1"/>
        <rFont val="Times New Roman"/>
        <family val="1"/>
      </rPr>
      <t xml:space="preserve">  =</t>
    </r>
  </si>
  <si>
    <r>
      <rPr>
        <b/>
        <sz val="11"/>
        <color theme="1"/>
        <rFont val="GreekC"/>
      </rPr>
      <t>r</t>
    </r>
    <r>
      <rPr>
        <b/>
        <i/>
        <sz val="8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 xml:space="preserve">  =</t>
    </r>
  </si>
  <si>
    <r>
      <rPr>
        <b/>
        <sz val="11"/>
        <color theme="1"/>
        <rFont val="GreekC"/>
      </rPr>
      <t>r</t>
    </r>
    <r>
      <rPr>
        <b/>
        <i/>
        <sz val="8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 xml:space="preserve">  =</t>
    </r>
  </si>
  <si>
    <r>
      <rPr>
        <b/>
        <sz val="11"/>
        <color theme="1"/>
        <rFont val="GreekC"/>
      </rPr>
      <t>r</t>
    </r>
    <r>
      <rPr>
        <b/>
        <i/>
        <sz val="8"/>
        <color theme="1"/>
        <rFont val="Times New Roman"/>
        <family val="1"/>
      </rPr>
      <t>E</t>
    </r>
    <r>
      <rPr>
        <sz val="11"/>
        <color theme="1"/>
        <rFont val="Times New Roman"/>
        <family val="1"/>
      </rPr>
      <t xml:space="preserve">  =</t>
    </r>
  </si>
  <si>
    <r>
      <t>[</t>
    </r>
    <r>
      <rPr>
        <i/>
        <sz val="11"/>
        <color theme="1"/>
        <rFont val="Times New Roman"/>
        <family val="1"/>
      </rPr>
      <t>kg/m³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</si>
  <si>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m³/s</t>
    </r>
    <r>
      <rPr>
        <sz val="11"/>
        <color theme="1"/>
        <rFont val="Times New Roman"/>
        <family val="1"/>
      </rPr>
      <t>]</t>
    </r>
  </si>
  <si>
    <t>i  =</t>
  </si>
  <si>
    <r>
      <t>[</t>
    </r>
    <r>
      <rPr>
        <i/>
        <sz val="11"/>
        <color theme="1"/>
        <rFont val="Times New Roman"/>
        <family val="1"/>
      </rPr>
      <t>m/s</t>
    </r>
    <r>
      <rPr>
        <i/>
        <sz val="11"/>
        <color theme="1"/>
        <rFont val="Calibri"/>
        <family val="2"/>
      </rPr>
      <t>²</t>
    </r>
    <r>
      <rPr>
        <sz val="11"/>
        <color theme="1"/>
        <rFont val="Times New Roman"/>
        <family val="1"/>
      </rPr>
      <t>]</t>
    </r>
  </si>
  <si>
    <r>
      <t>h</t>
    </r>
    <r>
      <rPr>
        <b/>
        <i/>
        <sz val="8"/>
        <color theme="1"/>
        <rFont val="Times New Roman"/>
        <family val="1"/>
      </rPr>
      <t>1</t>
    </r>
    <r>
      <rPr>
        <b/>
        <i/>
        <sz val="11"/>
        <color theme="1"/>
        <rFont val="Times New Roman"/>
        <family val="1"/>
      </rPr>
      <t xml:space="preserve">  =</t>
    </r>
  </si>
  <si>
    <r>
      <t>a</t>
    </r>
    <r>
      <rPr>
        <b/>
        <i/>
        <sz val="8"/>
        <color theme="1"/>
        <rFont val="Times New Roman"/>
        <family val="1"/>
      </rPr>
      <t>C</t>
    </r>
    <r>
      <rPr>
        <b/>
        <i/>
        <sz val="11"/>
        <color theme="1"/>
        <rFont val="Times New Roman"/>
        <family val="1"/>
      </rPr>
      <t xml:space="preserve"> =</t>
    </r>
  </si>
  <si>
    <r>
      <t>a</t>
    </r>
    <r>
      <rPr>
        <b/>
        <i/>
        <sz val="8"/>
        <color theme="1"/>
        <rFont val="Times New Roman"/>
        <family val="1"/>
      </rPr>
      <t>T</t>
    </r>
    <r>
      <rPr>
        <b/>
        <i/>
        <sz val="11"/>
        <color theme="1"/>
        <rFont val="Times New Roman"/>
        <family val="1"/>
      </rPr>
      <t xml:space="preserve"> =</t>
    </r>
  </si>
  <si>
    <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Calibri"/>
        <family val="2"/>
      </rPr>
      <t>²</t>
    </r>
    <r>
      <rPr>
        <sz val="11"/>
        <color theme="1"/>
        <rFont val="Times New Roman"/>
        <family val="1"/>
      </rPr>
      <t>]</t>
    </r>
  </si>
  <si>
    <r>
      <t>[</t>
    </r>
    <r>
      <rPr>
        <sz val="9"/>
        <color theme="1"/>
        <rFont val="Times New Roman"/>
        <family val="1"/>
      </rPr>
      <t>0/1</t>
    </r>
    <r>
      <rPr>
        <sz val="11"/>
        <color theme="1"/>
        <rFont val="Times New Roman"/>
        <family val="1"/>
      </rPr>
      <t>]</t>
    </r>
  </si>
  <si>
    <r>
      <rPr>
        <b/>
        <sz val="11"/>
        <color theme="1"/>
        <rFont val="GreekC"/>
      </rPr>
      <t>b</t>
    </r>
    <r>
      <rPr>
        <b/>
        <i/>
        <sz val="8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 =</t>
    </r>
  </si>
  <si>
    <r>
      <t>r</t>
    </r>
    <r>
      <rPr>
        <b/>
        <i/>
        <sz val="8"/>
        <color theme="1"/>
        <rFont val="Times New Roman"/>
        <family val="1"/>
      </rPr>
      <t>0</t>
    </r>
    <r>
      <rPr>
        <b/>
        <i/>
        <sz val="11"/>
        <color theme="1"/>
        <rFont val="Times New Roman"/>
        <family val="1"/>
      </rPr>
      <t xml:space="preserve">  =</t>
    </r>
  </si>
  <si>
    <r>
      <t>r</t>
    </r>
    <r>
      <rPr>
        <b/>
        <i/>
        <sz val="8"/>
        <color theme="1"/>
        <rFont val="Times New Roman"/>
        <family val="1"/>
      </rPr>
      <t>1</t>
    </r>
    <r>
      <rPr>
        <b/>
        <i/>
        <sz val="11"/>
        <color theme="1"/>
        <rFont val="Times New Roman"/>
        <family val="1"/>
      </rPr>
      <t xml:space="preserve">  =</t>
    </r>
  </si>
  <si>
    <r>
      <t>r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=</t>
    </r>
  </si>
  <si>
    <r>
      <t>T</t>
    </r>
    <r>
      <rPr>
        <b/>
        <i/>
        <sz val="8"/>
        <color theme="1"/>
        <rFont val="Times New Roman"/>
        <family val="1"/>
      </rPr>
      <t>S</t>
    </r>
    <r>
      <rPr>
        <b/>
        <i/>
        <sz val="11"/>
        <color theme="1"/>
        <rFont val="Times New Roman"/>
        <family val="1"/>
      </rPr>
      <t xml:space="preserve">  =</t>
    </r>
  </si>
  <si>
    <r>
      <t>[</t>
    </r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>]</t>
    </r>
  </si>
  <si>
    <t>k  =</t>
  </si>
  <si>
    <r>
      <t>[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Calibri"/>
        <family val="2"/>
      </rPr>
      <t>²</t>
    </r>
    <r>
      <rPr>
        <i/>
        <sz val="11"/>
        <color theme="1"/>
        <rFont val="Times New Roman"/>
        <family val="1"/>
      </rPr>
      <t>/s</t>
    </r>
    <r>
      <rPr>
        <sz val="11"/>
        <color theme="1"/>
        <rFont val="Calibri"/>
        <family val="2"/>
      </rPr>
      <t>²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</si>
  <si>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J s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</si>
  <si>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J/K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</si>
  <si>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m K</t>
    </r>
    <r>
      <rPr>
        <sz val="11"/>
        <color theme="1"/>
        <rFont val="Times New Roman"/>
        <family val="1"/>
      </rPr>
      <t>]</t>
    </r>
  </si>
  <si>
    <t>l</t>
  </si>
  <si>
    <r>
      <rPr>
        <b/>
        <sz val="11"/>
        <color theme="1"/>
        <rFont val="GreekC"/>
      </rPr>
      <t>Dl</t>
    </r>
    <r>
      <rPr>
        <sz val="11"/>
        <color theme="1"/>
        <rFont val="Calibri"/>
        <family val="2"/>
        <scheme val="minor"/>
      </rPr>
      <t xml:space="preserve">  =</t>
    </r>
  </si>
  <si>
    <r>
      <t>[</t>
    </r>
    <r>
      <rPr>
        <i/>
        <sz val="11"/>
        <color theme="1"/>
        <rFont val="Times New Roman"/>
        <family val="1"/>
      </rPr>
      <t>n m</t>
    </r>
    <r>
      <rPr>
        <sz val="11"/>
        <color theme="1"/>
        <rFont val="Times New Roman"/>
        <family val="1"/>
      </rPr>
      <t>]</t>
    </r>
  </si>
  <si>
    <r>
      <t>R</t>
    </r>
    <r>
      <rPr>
        <b/>
        <i/>
        <sz val="8"/>
        <color theme="1"/>
        <rFont val="Times New Roman"/>
        <family val="1"/>
      </rPr>
      <t>ST</t>
    </r>
    <r>
      <rPr>
        <b/>
        <i/>
        <sz val="11"/>
        <color theme="1"/>
        <rFont val="Times New Roman"/>
        <family val="1"/>
      </rPr>
      <t xml:space="preserve">  =</t>
    </r>
  </si>
  <si>
    <t>p  =</t>
  </si>
  <si>
    <r>
      <t>[</t>
    </r>
    <r>
      <rPr>
        <i/>
        <sz val="11"/>
        <color theme="1"/>
        <rFont val="Times New Roman"/>
        <family val="1"/>
      </rPr>
      <t>W/m</t>
    </r>
    <r>
      <rPr>
        <sz val="11"/>
        <color theme="1"/>
        <rFont val="Calibri"/>
        <family val="2"/>
      </rPr>
      <t>²</t>
    </r>
    <r>
      <rPr>
        <sz val="11"/>
        <color theme="1"/>
        <rFont val="Times New Roman"/>
        <family val="1"/>
      </rPr>
      <t>]</t>
    </r>
  </si>
  <si>
    <t>W  =</t>
  </si>
  <si>
    <r>
      <rPr>
        <b/>
        <sz val="11"/>
        <color theme="1"/>
        <rFont val="GreekC"/>
      </rPr>
      <t>l</t>
    </r>
    <r>
      <rPr>
        <b/>
        <i/>
        <sz val="8"/>
        <color theme="1"/>
        <rFont val="Times New Roman"/>
        <family val="1"/>
      </rPr>
      <t>0</t>
    </r>
    <r>
      <rPr>
        <b/>
        <i/>
        <sz val="11"/>
        <color theme="1"/>
        <rFont val="Times New Roman"/>
        <family val="1"/>
      </rPr>
      <t xml:space="preserve">  =</t>
    </r>
  </si>
  <si>
    <t>r</t>
  </si>
  <si>
    <t>b</t>
  </si>
  <si>
    <r>
      <t>b</t>
    </r>
    <r>
      <rPr>
        <b/>
        <i/>
        <sz val="8"/>
        <color theme="1"/>
        <rFont val="Times New Roman"/>
        <family val="1"/>
      </rPr>
      <t>B</t>
    </r>
  </si>
  <si>
    <t>Función trabajo</t>
  </si>
  <si>
    <t>Longitud de onda</t>
  </si>
  <si>
    <t>Frecuencia umbral</t>
  </si>
  <si>
    <r>
      <t>[</t>
    </r>
    <r>
      <rPr>
        <i/>
        <sz val="11"/>
        <color theme="1"/>
        <rFont val="Times New Roman"/>
        <family val="1"/>
      </rPr>
      <t>J</t>
    </r>
    <r>
      <rPr>
        <sz val="11"/>
        <color theme="1"/>
        <rFont val="Times New Roman"/>
        <family val="1"/>
      </rPr>
      <t>]</t>
    </r>
  </si>
  <si>
    <r>
      <t>[</t>
    </r>
    <r>
      <rPr>
        <i/>
        <sz val="11"/>
        <color theme="1"/>
        <rFont val="Times New Roman"/>
        <family val="1"/>
      </rPr>
      <t>nm</t>
    </r>
    <r>
      <rPr>
        <sz val="11"/>
        <color theme="1"/>
        <rFont val="Times New Roman"/>
        <family val="1"/>
      </rPr>
      <t>]</t>
    </r>
  </si>
  <si>
    <t>Li</t>
  </si>
  <si>
    <r>
      <t>[</t>
    </r>
    <r>
      <rPr>
        <i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]</t>
    </r>
  </si>
  <si>
    <t>[J s]</t>
  </si>
  <si>
    <r>
      <t>[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Hz</t>
    </r>
    <r>
      <rPr>
        <sz val="11"/>
        <color theme="1"/>
        <rFont val="Times New Roman"/>
        <family val="1"/>
      </rPr>
      <t>]</t>
    </r>
  </si>
  <si>
    <r>
      <t>[e</t>
    </r>
    <r>
      <rPr>
        <i/>
        <sz val="11"/>
        <color theme="1"/>
        <rFont val="Times New Roman"/>
        <family val="1"/>
      </rPr>
      <t>V</t>
    </r>
    <r>
      <rPr>
        <sz val="11"/>
        <color theme="1"/>
        <rFont val="Times New Roman"/>
        <family val="1"/>
      </rPr>
      <t>]</t>
    </r>
  </si>
  <si>
    <t>Elemento metálico</t>
  </si>
  <si>
    <t>Masa molecular del hidrógeno:</t>
  </si>
  <si>
    <r>
      <t>d</t>
    </r>
    <r>
      <rPr>
        <b/>
        <i/>
        <sz val="8"/>
        <color theme="1"/>
        <rFont val="Times New Roman"/>
        <family val="1"/>
      </rPr>
      <t>H2</t>
    </r>
    <r>
      <rPr>
        <b/>
        <i/>
        <sz val="11"/>
        <color theme="1"/>
        <rFont val="Times New Roman"/>
        <family val="1"/>
      </rPr>
      <t xml:space="preserve">  =</t>
    </r>
  </si>
  <si>
    <t>Densidad del hidrógeno:</t>
  </si>
  <si>
    <t>Masa molecular del helio:</t>
  </si>
  <si>
    <t>mA He  =</t>
  </si>
  <si>
    <r>
      <t>mA N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=</t>
    </r>
  </si>
  <si>
    <r>
      <t>mA O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=</t>
    </r>
  </si>
  <si>
    <r>
      <t>mA H</t>
    </r>
    <r>
      <rPr>
        <b/>
        <i/>
        <sz val="8"/>
        <color theme="1"/>
        <rFont val="Times New Roman"/>
        <family val="1"/>
      </rPr>
      <t>2</t>
    </r>
    <r>
      <rPr>
        <b/>
        <i/>
        <sz val="11"/>
        <color theme="1"/>
        <rFont val="Times New Roman"/>
        <family val="1"/>
      </rPr>
      <t xml:space="preserve">  =</t>
    </r>
  </si>
  <si>
    <t>Densidad del helio:</t>
  </si>
  <si>
    <t>Volumen H2 por kg de masa bruta:</t>
  </si>
  <si>
    <t xml:space="preserve">Volumen normal: </t>
  </si>
  <si>
    <r>
      <t>V</t>
    </r>
    <r>
      <rPr>
        <b/>
        <i/>
        <sz val="8"/>
        <color theme="1"/>
        <rFont val="Times New Roman"/>
        <family val="1"/>
      </rPr>
      <t>Av</t>
    </r>
    <r>
      <rPr>
        <b/>
        <i/>
        <sz val="11"/>
        <color theme="1"/>
        <rFont val="Times New Roman"/>
        <family val="1"/>
      </rPr>
      <t xml:space="preserve">  =</t>
    </r>
  </si>
  <si>
    <r>
      <t>β</t>
    </r>
    <r>
      <rPr>
        <b/>
        <sz val="8"/>
        <color theme="1"/>
        <rFont val="GreekC"/>
      </rPr>
      <t>B</t>
    </r>
  </si>
  <si>
    <r>
      <t xml:space="preserve">f 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THz</t>
    </r>
    <r>
      <rPr>
        <sz val="11"/>
        <color theme="1"/>
        <rFont val="Times New Roman"/>
        <family val="1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</si>
</sst>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"/>
    <numFmt numFmtId="166" formatCode="0.000E+00"/>
    <numFmt numFmtId="167" formatCode="0.00000"/>
    <numFmt numFmtId="168" formatCode="0.000"/>
    <numFmt numFmtId="169" formatCode="#,##0.000"/>
    <numFmt numFmtId="170" formatCode="0.0000"/>
    <numFmt numFmtId="171" formatCode="0.000000E+00"/>
    <numFmt numFmtId="172" formatCode="0.0E+00"/>
    <numFmt numFmtId="173" formatCode="0.000000000E+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GreekS"/>
    </font>
    <font>
      <sz val="11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GreekS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</font>
    <font>
      <b/>
      <i/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GreekC"/>
    </font>
    <font>
      <sz val="10"/>
      <color theme="1"/>
      <name val="Times New Roman"/>
      <family val="1"/>
    </font>
    <font>
      <b/>
      <sz val="8"/>
      <color theme="1"/>
      <name val="GreekC"/>
    </font>
    <font>
      <b/>
      <i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EBFDE"/>
        <bgColor indexed="64"/>
      </patternFill>
    </fill>
    <fill>
      <patternFill patternType="solid">
        <fgColor rgb="FF91DFBA"/>
        <bgColor indexed="64"/>
      </patternFill>
    </fill>
    <fill>
      <patternFill patternType="solid">
        <fgColor rgb="FFE1F86E"/>
        <bgColor indexed="64"/>
      </patternFill>
    </fill>
    <fill>
      <patternFill patternType="solid">
        <fgColor rgb="FFF2F808"/>
        <bgColor indexed="64"/>
      </patternFill>
    </fill>
    <fill>
      <patternFill patternType="solid">
        <fgColor rgb="FFF6D1BA"/>
        <bgColor indexed="64"/>
      </patternFill>
    </fill>
    <fill>
      <patternFill patternType="solid">
        <fgColor rgb="FFF9A1F9"/>
        <bgColor indexed="64"/>
      </patternFill>
    </fill>
    <fill>
      <patternFill patternType="solid">
        <fgColor rgb="FFC19BCD"/>
        <bgColor indexed="64"/>
      </patternFill>
    </fill>
    <fill>
      <patternFill patternType="solid">
        <fgColor rgb="FF98D8A4"/>
        <bgColor indexed="64"/>
      </patternFill>
    </fill>
    <fill>
      <patternFill patternType="solid">
        <fgColor rgb="FF5852D6"/>
        <bgColor indexed="64"/>
      </patternFill>
    </fill>
    <fill>
      <patternFill patternType="solid">
        <fgColor rgb="FFE6FA6C"/>
        <bgColor indexed="64"/>
      </patternFill>
    </fill>
    <fill>
      <patternFill patternType="solid">
        <fgColor rgb="FF9CD4D3"/>
        <bgColor indexed="64"/>
      </patternFill>
    </fill>
    <fill>
      <patternFill patternType="solid">
        <fgColor rgb="FFE2C61E"/>
        <bgColor indexed="64"/>
      </patternFill>
    </fill>
    <fill>
      <patternFill patternType="solid">
        <fgColor rgb="FFC9E9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/>
    <xf numFmtId="0" fontId="8" fillId="0" borderId="0" xfId="0" applyFont="1" applyAlignment="1">
      <alignment horizontal="right" vertical="center"/>
    </xf>
    <xf numFmtId="0" fontId="10" fillId="0" borderId="0" xfId="0" applyFont="1"/>
    <xf numFmtId="0" fontId="0" fillId="0" borderId="1" xfId="0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3" fontId="11" fillId="3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3" fontId="11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4" fontId="11" fillId="9" borderId="0" xfId="0" applyNumberFormat="1" applyFont="1" applyFill="1" applyAlignment="1">
      <alignment horizontal="center"/>
    </xf>
    <xf numFmtId="164" fontId="11" fillId="10" borderId="0" xfId="0" applyNumberFormat="1" applyFont="1" applyFill="1" applyAlignment="1">
      <alignment horizontal="center"/>
    </xf>
    <xf numFmtId="164" fontId="11" fillId="11" borderId="0" xfId="0" applyNumberFormat="1" applyFont="1" applyFill="1" applyAlignment="1">
      <alignment horizontal="center"/>
    </xf>
    <xf numFmtId="164" fontId="11" fillId="12" borderId="0" xfId="0" applyNumberFormat="1" applyFont="1" applyFill="1" applyAlignment="1">
      <alignment horizontal="center"/>
    </xf>
    <xf numFmtId="164" fontId="11" fillId="13" borderId="0" xfId="0" applyNumberFormat="1" applyFont="1" applyFill="1" applyAlignment="1">
      <alignment horizontal="center"/>
    </xf>
    <xf numFmtId="164" fontId="11" fillId="14" borderId="0" xfId="0" applyNumberFormat="1" applyFont="1" applyFill="1" applyAlignment="1">
      <alignment horizontal="center"/>
    </xf>
    <xf numFmtId="0" fontId="11" fillId="0" borderId="0" xfId="0" applyFont="1"/>
    <xf numFmtId="165" fontId="0" fillId="0" borderId="0" xfId="0" applyNumberFormat="1" applyAlignment="1">
      <alignment horizontal="center"/>
    </xf>
    <xf numFmtId="165" fontId="11" fillId="10" borderId="0" xfId="0" applyNumberFormat="1" applyFont="1" applyFill="1" applyAlignment="1">
      <alignment horizontal="center"/>
    </xf>
    <xf numFmtId="165" fontId="11" fillId="13" borderId="0" xfId="0" applyNumberFormat="1" applyFont="1" applyFill="1" applyAlignment="1">
      <alignment horizontal="center"/>
    </xf>
    <xf numFmtId="165" fontId="11" fillId="11" borderId="0" xfId="0" applyNumberFormat="1" applyFont="1" applyFill="1" applyAlignment="1">
      <alignment horizontal="center"/>
    </xf>
    <xf numFmtId="165" fontId="11" fillId="9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0" fillId="15" borderId="0" xfId="0" applyNumberFormat="1" applyFill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0" xfId="0" applyFont="1"/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0" fillId="16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 applyAlignment="1">
      <alignment horizontal="left"/>
    </xf>
    <xf numFmtId="3" fontId="0" fillId="17" borderId="0" xfId="0" applyNumberFormat="1" applyFill="1" applyBorder="1" applyAlignment="1">
      <alignment horizontal="center"/>
    </xf>
    <xf numFmtId="3" fontId="0" fillId="18" borderId="0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18" borderId="8" xfId="0" applyNumberFormat="1" applyFill="1" applyBorder="1" applyAlignment="1">
      <alignment horizontal="center"/>
    </xf>
    <xf numFmtId="3" fontId="0" fillId="17" borderId="8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Border="1"/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0" xfId="0" applyNumberFormat="1" applyBorder="1"/>
    <xf numFmtId="4" fontId="0" fillId="0" borderId="0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2" fontId="25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/>
    <xf numFmtId="0" fontId="0" fillId="0" borderId="0" xfId="0" applyAlignment="1"/>
    <xf numFmtId="0" fontId="11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2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25" fillId="0" borderId="5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2" fontId="25" fillId="0" borderId="7" xfId="0" applyNumberFormat="1" applyFont="1" applyBorder="1" applyAlignment="1">
      <alignment horizontal="center"/>
    </xf>
    <xf numFmtId="2" fontId="25" fillId="0" borderId="8" xfId="0" applyNumberFormat="1" applyFont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0" fontId="0" fillId="0" borderId="9" xfId="0" applyBorder="1"/>
    <xf numFmtId="0" fontId="11" fillId="0" borderId="2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3" fillId="0" borderId="8" xfId="0" applyFont="1" applyBorder="1" applyAlignment="1">
      <alignment horizontal="right"/>
    </xf>
    <xf numFmtId="2" fontId="25" fillId="0" borderId="7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wrapText="1"/>
    </xf>
    <xf numFmtId="169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168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0" fontId="25" fillId="0" borderId="0" xfId="0" applyFont="1"/>
    <xf numFmtId="0" fontId="30" fillId="0" borderId="3" xfId="0" applyFont="1" applyBorder="1" applyAlignment="1">
      <alignment horizontal="right"/>
    </xf>
    <xf numFmtId="4" fontId="13" fillId="0" borderId="4" xfId="0" applyNumberFormat="1" applyFont="1" applyBorder="1" applyAlignment="1">
      <alignment horizontal="center"/>
    </xf>
    <xf numFmtId="4" fontId="25" fillId="0" borderId="3" xfId="0" applyNumberFormat="1" applyFont="1" applyBorder="1" applyAlignment="1">
      <alignment horizontal="center"/>
    </xf>
    <xf numFmtId="4" fontId="25" fillId="0" borderId="4" xfId="0" applyNumberFormat="1" applyFont="1" applyBorder="1" applyAlignment="1">
      <alignment horizontal="center"/>
    </xf>
    <xf numFmtId="0" fontId="30" fillId="0" borderId="8" xfId="0" applyFont="1" applyBorder="1" applyAlignment="1">
      <alignment horizontal="right"/>
    </xf>
    <xf numFmtId="4" fontId="13" fillId="0" borderId="9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  <xf numFmtId="4" fontId="25" fillId="0" borderId="9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25" fillId="0" borderId="11" xfId="0" applyNumberFormat="1" applyFont="1" applyBorder="1" applyAlignment="1">
      <alignment horizontal="center"/>
    </xf>
    <xf numFmtId="4" fontId="25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center"/>
    </xf>
    <xf numFmtId="4" fontId="25" fillId="0" borderId="1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/>
    <xf numFmtId="0" fontId="30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3" fillId="0" borderId="0" xfId="0" applyFont="1" applyBorder="1" applyAlignment="1"/>
    <xf numFmtId="0" fontId="31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24" fillId="0" borderId="0" xfId="0" applyFont="1" applyBorder="1" applyAlignment="1"/>
    <xf numFmtId="0" fontId="31" fillId="0" borderId="0" xfId="0" applyFont="1" applyBorder="1" applyAlignment="1"/>
    <xf numFmtId="2" fontId="32" fillId="0" borderId="2" xfId="0" applyNumberFormat="1" applyFont="1" applyBorder="1" applyAlignment="1">
      <alignment horizontal="center"/>
    </xf>
    <xf numFmtId="2" fontId="32" fillId="0" borderId="3" xfId="0" applyNumberFormat="1" applyFont="1" applyBorder="1" applyAlignment="1">
      <alignment horizontal="center"/>
    </xf>
    <xf numFmtId="2" fontId="32" fillId="0" borderId="4" xfId="0" applyNumberFormat="1" applyFont="1" applyBorder="1" applyAlignment="1">
      <alignment horizontal="center"/>
    </xf>
    <xf numFmtId="165" fontId="32" fillId="0" borderId="7" xfId="0" applyNumberFormat="1" applyFont="1" applyBorder="1" applyAlignment="1">
      <alignment horizontal="center"/>
    </xf>
    <xf numFmtId="165" fontId="32" fillId="0" borderId="8" xfId="0" applyNumberFormat="1" applyFont="1" applyBorder="1" applyAlignment="1">
      <alignment horizontal="center"/>
    </xf>
    <xf numFmtId="165" fontId="32" fillId="0" borderId="9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2" fontId="32" fillId="0" borderId="2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2" fontId="32" fillId="0" borderId="4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70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70" fontId="0" fillId="0" borderId="0" xfId="0" applyNumberFormat="1" applyFont="1" applyAlignment="1">
      <alignment horizontal="center"/>
    </xf>
    <xf numFmtId="0" fontId="0" fillId="0" borderId="0" xfId="0"/>
    <xf numFmtId="168" fontId="0" fillId="0" borderId="0" xfId="0" applyNumberFormat="1" applyFont="1" applyAlignment="1">
      <alignment horizontal="center"/>
    </xf>
    <xf numFmtId="168" fontId="0" fillId="0" borderId="0" xfId="0" applyNumberFormat="1" applyFont="1"/>
    <xf numFmtId="170" fontId="0" fillId="0" borderId="0" xfId="0" applyNumberFormat="1" applyFont="1" applyAlignment="1">
      <alignment horizontal="center"/>
    </xf>
    <xf numFmtId="4" fontId="0" fillId="0" borderId="0" xfId="0" applyNumberFormat="1" applyFont="1"/>
    <xf numFmtId="167" fontId="0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3" fillId="0" borderId="5" xfId="0" applyFont="1" applyBorder="1" applyAlignment="1">
      <alignment horizontal="right"/>
    </xf>
    <xf numFmtId="3" fontId="37" fillId="0" borderId="0" xfId="0" applyNumberFormat="1" applyFont="1" applyBorder="1" applyAlignment="1">
      <alignment horizontal="center"/>
    </xf>
    <xf numFmtId="0" fontId="1" fillId="0" borderId="6" xfId="0" applyFont="1" applyBorder="1"/>
    <xf numFmtId="0" fontId="0" fillId="0" borderId="0" xfId="0"/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164" fontId="0" fillId="0" borderId="0" xfId="0" applyNumberFormat="1"/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1" fillId="0" borderId="0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0" xfId="0"/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9" fontId="13" fillId="0" borderId="4" xfId="0" applyNumberFormat="1" applyFont="1" applyBorder="1" applyAlignment="1">
      <alignment horizontal="center" vertical="center"/>
    </xf>
    <xf numFmtId="169" fontId="13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70" fontId="5" fillId="0" borderId="5" xfId="0" applyNumberFormat="1" applyFont="1" applyBorder="1" applyAlignment="1">
      <alignment horizontal="center" vertical="center"/>
    </xf>
    <xf numFmtId="170" fontId="5" fillId="0" borderId="0" xfId="0" applyNumberFormat="1" applyFont="1" applyBorder="1" applyAlignment="1">
      <alignment horizontal="center" vertical="center"/>
    </xf>
    <xf numFmtId="170" fontId="0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 vertical="center"/>
    </xf>
    <xf numFmtId="0" fontId="33" fillId="0" borderId="5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169" fontId="13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73" fontId="0" fillId="0" borderId="0" xfId="0" applyNumberFormat="1" applyAlignment="1">
      <alignment horizontal="center"/>
    </xf>
    <xf numFmtId="2" fontId="11" fillId="0" borderId="2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DE4CF"/>
      <color rgb="FFCCFFFF"/>
      <color rgb="FFC9E9B3"/>
      <color rgb="FFAB64B0"/>
      <color rgb="FF6C55BF"/>
      <color rgb="FFC7C7D5"/>
      <color rgb="FFB2EAD5"/>
      <color rgb="FFBCBAE2"/>
      <color rgb="FFB1EBCD"/>
      <color rgb="FF5852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Curva de carga residencial típica</a:t>
            </a:r>
          </a:p>
        </c:rich>
      </c:tx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86771125971064"/>
          <c:y val="0.12464811463784418"/>
          <c:w val="0.81860800063311734"/>
          <c:h val="0.717001742303579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'Curvas de carga'!$B$3:$B$26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'Curvas de carga'!$C$3:$C$26</c:f>
            </c:numRef>
          </c:yVal>
          <c:smooth val="1"/>
          <c:extLst>
            <c:ext xmlns:c16="http://schemas.microsoft.com/office/drawing/2014/chart" uri="{C3380CC4-5D6E-409C-BE32-E72D297353CC}">
              <c16:uniqueId val="{00000003-7EA4-4D09-8C59-45066D3AC195}"/>
            </c:ext>
          </c:extLst>
        </c:ser>
        <c:ser>
          <c:idx val="1"/>
          <c:order val="1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'Curvas de carga'!$B$3:$B$26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'Curvas de carga'!$D$3:$D$26</c:f>
              <c:numCache>
                <c:formatCode>#,##0.00</c:formatCode>
                <c:ptCount val="24"/>
                <c:pt idx="0">
                  <c:v>0.9</c:v>
                </c:pt>
                <c:pt idx="1">
                  <c:v>0.45</c:v>
                </c:pt>
                <c:pt idx="2">
                  <c:v>0.22500000000000001</c:v>
                </c:pt>
                <c:pt idx="3">
                  <c:v>0.22500000000000001</c:v>
                </c:pt>
                <c:pt idx="4">
                  <c:v>0.22500000000000001</c:v>
                </c:pt>
                <c:pt idx="5">
                  <c:v>0.45</c:v>
                </c:pt>
                <c:pt idx="6">
                  <c:v>0.9</c:v>
                </c:pt>
                <c:pt idx="7">
                  <c:v>1.125</c:v>
                </c:pt>
                <c:pt idx="8">
                  <c:v>1.3499999999999999</c:v>
                </c:pt>
                <c:pt idx="9">
                  <c:v>1.3499999999999999</c:v>
                </c:pt>
                <c:pt idx="10">
                  <c:v>1.8</c:v>
                </c:pt>
                <c:pt idx="11">
                  <c:v>2.25</c:v>
                </c:pt>
                <c:pt idx="12">
                  <c:v>1.8</c:v>
                </c:pt>
                <c:pt idx="13">
                  <c:v>1.3499999999999999</c:v>
                </c:pt>
                <c:pt idx="14">
                  <c:v>1.3499999999999999</c:v>
                </c:pt>
                <c:pt idx="15">
                  <c:v>1.3499999999999999</c:v>
                </c:pt>
                <c:pt idx="16">
                  <c:v>1.8</c:v>
                </c:pt>
                <c:pt idx="17">
                  <c:v>2.25</c:v>
                </c:pt>
                <c:pt idx="18">
                  <c:v>2.6999999999999997</c:v>
                </c:pt>
                <c:pt idx="19">
                  <c:v>4.5</c:v>
                </c:pt>
                <c:pt idx="20">
                  <c:v>4.5</c:v>
                </c:pt>
                <c:pt idx="21">
                  <c:v>3.6</c:v>
                </c:pt>
                <c:pt idx="22">
                  <c:v>2.25</c:v>
                </c:pt>
                <c:pt idx="23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A4-4D09-8C59-45066D3A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5024"/>
        <c:axId val="122706944"/>
      </c:scatterChart>
      <c:valAx>
        <c:axId val="12270502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Tiempo diario  [h]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6944"/>
        <c:crosses val="autoZero"/>
        <c:crossBetween val="midCat"/>
        <c:majorUnit val="1"/>
      </c:valAx>
      <c:valAx>
        <c:axId val="1227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Demanda horaria 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L"/>
          </a:p>
        </c:txPr>
        <c:crossAx val="1227050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CL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Perfil medio diario</a:t>
            </a:r>
            <a:r>
              <a:rPr lang="en-US" sz="1400" baseline="0"/>
              <a:t> característico en Casa de Pesca</a:t>
            </a:r>
            <a:endParaRPr lang="en-US" sz="1400"/>
          </a:p>
        </c:rich>
      </c:tx>
      <c:layout>
        <c:manualLayout>
          <c:xMode val="edge"/>
          <c:yMode val="edge"/>
          <c:x val="0.19045742276867797"/>
          <c:y val="3.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186183277892424"/>
          <c:y val="0.14267786526684165"/>
          <c:w val="0.82922546446400758"/>
          <c:h val="0.67487034120734912"/>
        </c:manualLayout>
      </c:layout>
      <c:scatterChart>
        <c:scatterStyle val="smoothMarker"/>
        <c:varyColors val="0"/>
        <c:ser>
          <c:idx val="0"/>
          <c:order val="0"/>
          <c:tx>
            <c:v>30 [m.s.n.m.]</c:v>
          </c:tx>
          <c:marker>
            <c:symbol val="none"/>
          </c:marker>
          <c:xVal>
            <c:numRef>
              <c:f>'ejercicio Casa de Pesca'!$S$6:$S$29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'ejercicio Casa de Pesca'!$T$6:$T$29</c:f>
              <c:numCache>
                <c:formatCode>0.00</c:formatCode>
                <c:ptCount val="24"/>
                <c:pt idx="0">
                  <c:v>4.4000000000000004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4.2</c:v>
                </c:pt>
                <c:pt idx="6">
                  <c:v>4.2</c:v>
                </c:pt>
                <c:pt idx="7">
                  <c:v>4.3</c:v>
                </c:pt>
                <c:pt idx="8">
                  <c:v>4.5</c:v>
                </c:pt>
                <c:pt idx="9">
                  <c:v>4.9000000000000004</c:v>
                </c:pt>
                <c:pt idx="10">
                  <c:v>5.25</c:v>
                </c:pt>
                <c:pt idx="11">
                  <c:v>5.5</c:v>
                </c:pt>
                <c:pt idx="12">
                  <c:v>5.6</c:v>
                </c:pt>
                <c:pt idx="13">
                  <c:v>5.7</c:v>
                </c:pt>
                <c:pt idx="14">
                  <c:v>5.7</c:v>
                </c:pt>
                <c:pt idx="15">
                  <c:v>5.6</c:v>
                </c:pt>
                <c:pt idx="16">
                  <c:v>5.5</c:v>
                </c:pt>
                <c:pt idx="17">
                  <c:v>5.25</c:v>
                </c:pt>
                <c:pt idx="18">
                  <c:v>5</c:v>
                </c:pt>
                <c:pt idx="19">
                  <c:v>4.8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C0-45BD-8B85-4BF3BC0E91DA}"/>
            </c:ext>
          </c:extLst>
        </c:ser>
        <c:ser>
          <c:idx val="1"/>
          <c:order val="1"/>
          <c:tx>
            <c:v>15 [m.s.n.m.]</c:v>
          </c:tx>
          <c:marker>
            <c:symbol val="none"/>
          </c:marker>
          <c:xVal>
            <c:numRef>
              <c:f>'ejercicio Casa de Pesca'!$S$6:$S$29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'ejercicio Casa de Pesca'!$U$6:$U$29</c:f>
              <c:numCache>
                <c:formatCode>0.00</c:formatCode>
                <c:ptCount val="24"/>
                <c:pt idx="0">
                  <c:v>3.6</c:v>
                </c:pt>
                <c:pt idx="1">
                  <c:v>3.6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3.4</c:v>
                </c:pt>
                <c:pt idx="7">
                  <c:v>3.5</c:v>
                </c:pt>
                <c:pt idx="8">
                  <c:v>3.75</c:v>
                </c:pt>
                <c:pt idx="9">
                  <c:v>4.2</c:v>
                </c:pt>
                <c:pt idx="10">
                  <c:v>4.5</c:v>
                </c:pt>
                <c:pt idx="11">
                  <c:v>4.75</c:v>
                </c:pt>
                <c:pt idx="12">
                  <c:v>4.9000000000000004</c:v>
                </c:pt>
                <c:pt idx="13">
                  <c:v>5</c:v>
                </c:pt>
                <c:pt idx="14">
                  <c:v>5</c:v>
                </c:pt>
                <c:pt idx="15">
                  <c:v>4.95</c:v>
                </c:pt>
                <c:pt idx="16">
                  <c:v>4.8</c:v>
                </c:pt>
                <c:pt idx="17">
                  <c:v>4.5</c:v>
                </c:pt>
                <c:pt idx="18">
                  <c:v>4.25</c:v>
                </c:pt>
                <c:pt idx="19">
                  <c:v>4</c:v>
                </c:pt>
                <c:pt idx="20">
                  <c:v>3.75</c:v>
                </c:pt>
                <c:pt idx="21">
                  <c:v>3.7</c:v>
                </c:pt>
                <c:pt idx="22">
                  <c:v>3.6</c:v>
                </c:pt>
                <c:pt idx="23">
                  <c:v>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C0-45BD-8B85-4BF3BC0E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76032"/>
        <c:axId val="128086400"/>
      </c:scatterChart>
      <c:valAx>
        <c:axId val="128076032"/>
        <c:scaling>
          <c:orientation val="minMax"/>
          <c:max val="24"/>
          <c:min val="1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i="0">
                    <a:latin typeface="+mn-lt"/>
                  </a:rPr>
                  <a:t>Hora</a:t>
                </a:r>
                <a:r>
                  <a:rPr lang="en-US" sz="1100" i="0" baseline="0">
                    <a:latin typeface="+mn-lt"/>
                  </a:rPr>
                  <a:t> </a:t>
                </a:r>
                <a:r>
                  <a:rPr lang="en-US" sz="1100" i="0">
                    <a:latin typeface="+mn-lt"/>
                  </a:rPr>
                  <a:t>del  día </a:t>
                </a:r>
                <a:r>
                  <a:rPr lang="en-US" sz="1100" b="1" i="0">
                    <a:latin typeface="+mn-lt"/>
                    <a:cs typeface="Times New Roman" pitchFamily="18" charset="0"/>
                  </a:rPr>
                  <a:t>[h]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086400"/>
        <c:crosses val="autoZero"/>
        <c:crossBetween val="midCat"/>
        <c:majorUnit val="1"/>
        <c:minorUnit val="1"/>
      </c:valAx>
      <c:valAx>
        <c:axId val="128086400"/>
        <c:scaling>
          <c:orientation val="minMax"/>
          <c:max val="6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Velociddad del viento</a:t>
                </a:r>
                <a:r>
                  <a:rPr lang="en-US" sz="1100" b="1">
                    <a:latin typeface="+mn-lt"/>
                  </a:rPr>
                  <a:t> </a:t>
                </a:r>
                <a:r>
                  <a:rPr lang="en-US" sz="1100" b="1">
                    <a:latin typeface="+mn-lt"/>
                    <a:cs typeface="Times New Roman" pitchFamily="18" charset="0"/>
                  </a:rPr>
                  <a:t>[</a:t>
                </a:r>
                <a:r>
                  <a:rPr lang="en-US" sz="1100" b="1" i="1">
                    <a:latin typeface="+mn-lt"/>
                    <a:cs typeface="Times New Roman" pitchFamily="18" charset="0"/>
                  </a:rPr>
                  <a:t>m/s</a:t>
                </a:r>
                <a:r>
                  <a:rPr lang="en-US" sz="1100" b="1">
                    <a:latin typeface="+mn-lt"/>
                    <a:cs typeface="Times New Roman" pitchFamily="18" charset="0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1.869290402870764E-2"/>
              <c:y val="0.2093462817147870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8076032"/>
        <c:crosses val="autoZero"/>
        <c:crossBetween val="midCat"/>
        <c:majorUnit val="0.5"/>
        <c:minorUnit val="0.2"/>
      </c:valAx>
      <c:spPr>
        <a:noFill/>
      </c:spPr>
    </c:plotArea>
    <c:legend>
      <c:legendPos val="r"/>
      <c:layout>
        <c:manualLayout>
          <c:xMode val="edge"/>
          <c:yMode val="edge"/>
          <c:x val="0.1317764958524569"/>
          <c:y val="0.14407594050743658"/>
          <c:w val="0.21513963161021984"/>
          <c:h val="0.13407034120734909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2855925885298"/>
          <c:y val="0.13350294922182437"/>
          <c:w val="0.8556092704094147"/>
          <c:h val="0.71333055701188486"/>
        </c:manualLayout>
      </c:layout>
      <c:areaChart>
        <c:grouping val="standard"/>
        <c:varyColors val="0"/>
        <c:ser>
          <c:idx val="0"/>
          <c:order val="0"/>
          <c:tx>
            <c:v>Iradiancia total: p = 1.405 [W/m2]</c:v>
          </c:tx>
          <c:spPr>
            <a:solidFill>
              <a:srgbClr val="FDE4CF"/>
            </a:solidFill>
            <a:ln w="19050">
              <a:noFill/>
            </a:ln>
          </c:spPr>
          <c:cat>
            <c:numRef>
              <c:f>'Irradiancia solar'!$L$7:$L$47</c:f>
              <c:numCache>
                <c:formatCode>#,##0</c:formatCode>
                <c:ptCount val="41"/>
                <c:pt idx="0">
                  <c:v>0</c:v>
                </c:pt>
                <c:pt idx="1">
                  <c:v>62.6</c:v>
                </c:pt>
                <c:pt idx="2">
                  <c:v>125.2</c:v>
                </c:pt>
                <c:pt idx="3">
                  <c:v>187.8</c:v>
                </c:pt>
                <c:pt idx="4">
                  <c:v>250.4</c:v>
                </c:pt>
                <c:pt idx="5">
                  <c:v>313</c:v>
                </c:pt>
                <c:pt idx="6">
                  <c:v>375.6</c:v>
                </c:pt>
                <c:pt idx="7">
                  <c:v>438.20000000000005</c:v>
                </c:pt>
                <c:pt idx="8">
                  <c:v>500.80000000000007</c:v>
                </c:pt>
                <c:pt idx="9">
                  <c:v>563.40000000000009</c:v>
                </c:pt>
                <c:pt idx="10">
                  <c:v>626.00000000000011</c:v>
                </c:pt>
                <c:pt idx="11">
                  <c:v>688.60000000000014</c:v>
                </c:pt>
                <c:pt idx="12">
                  <c:v>751.20000000000016</c:v>
                </c:pt>
                <c:pt idx="13">
                  <c:v>813.80000000000018</c:v>
                </c:pt>
                <c:pt idx="14">
                  <c:v>876.4000000000002</c:v>
                </c:pt>
                <c:pt idx="15">
                  <c:v>939.00000000000023</c:v>
                </c:pt>
                <c:pt idx="16">
                  <c:v>1001.6000000000003</c:v>
                </c:pt>
                <c:pt idx="17">
                  <c:v>1064.2000000000003</c:v>
                </c:pt>
                <c:pt idx="18">
                  <c:v>1126.8000000000002</c:v>
                </c:pt>
                <c:pt idx="19">
                  <c:v>1189.4000000000001</c:v>
                </c:pt>
                <c:pt idx="20">
                  <c:v>1252</c:v>
                </c:pt>
                <c:pt idx="21">
                  <c:v>1314.6</c:v>
                </c:pt>
                <c:pt idx="22">
                  <c:v>1377.1999999999998</c:v>
                </c:pt>
                <c:pt idx="23">
                  <c:v>1439.7999999999997</c:v>
                </c:pt>
                <c:pt idx="24">
                  <c:v>1502.3999999999996</c:v>
                </c:pt>
                <c:pt idx="25">
                  <c:v>1564.9999999999995</c:v>
                </c:pt>
                <c:pt idx="26">
                  <c:v>1627.5999999999995</c:v>
                </c:pt>
                <c:pt idx="27">
                  <c:v>1690.1999999999994</c:v>
                </c:pt>
                <c:pt idx="28">
                  <c:v>1752.7999999999993</c:v>
                </c:pt>
                <c:pt idx="29">
                  <c:v>1815.3999999999992</c:v>
                </c:pt>
                <c:pt idx="30">
                  <c:v>1877.9999999999991</c:v>
                </c:pt>
                <c:pt idx="31">
                  <c:v>1940.599999999999</c:v>
                </c:pt>
                <c:pt idx="32">
                  <c:v>2003.1999999999989</c:v>
                </c:pt>
                <c:pt idx="33">
                  <c:v>2065.7999999999988</c:v>
                </c:pt>
                <c:pt idx="34">
                  <c:v>2128.3999999999987</c:v>
                </c:pt>
                <c:pt idx="35">
                  <c:v>2190.9999999999986</c:v>
                </c:pt>
                <c:pt idx="36">
                  <c:v>2253.5999999999985</c:v>
                </c:pt>
                <c:pt idx="37">
                  <c:v>2316.1999999999985</c:v>
                </c:pt>
                <c:pt idx="38">
                  <c:v>2378.7999999999984</c:v>
                </c:pt>
                <c:pt idx="39">
                  <c:v>2441.3999999999983</c:v>
                </c:pt>
                <c:pt idx="40">
                  <c:v>2503.9999999999982</c:v>
                </c:pt>
              </c:numCache>
            </c:numRef>
          </c:cat>
          <c:val>
            <c:numRef>
              <c:f>'Irradiancia solar'!$M$7:$M$47</c:f>
              <c:numCache>
                <c:formatCode>#,##0.0</c:formatCode>
                <c:ptCount val="41"/>
                <c:pt idx="1">
                  <c:v>4.6133049536828006E-11</c:v>
                </c:pt>
                <c:pt idx="2">
                  <c:v>6.2591951819801375E-4</c:v>
                </c:pt>
                <c:pt idx="3">
                  <c:v>6.2413958087137768E-2</c:v>
                </c:pt>
                <c:pt idx="4">
                  <c:v>0.40758436164359668</c:v>
                </c:pt>
                <c:pt idx="5">
                  <c:v>0.9762579181076243</c:v>
                </c:pt>
                <c:pt idx="6">
                  <c:v>1.4788484825223633</c:v>
                </c:pt>
                <c:pt idx="7">
                  <c:v>1.76772217075357</c:v>
                </c:pt>
                <c:pt idx="8">
                  <c:v>1.8513131147739581</c:v>
                </c:pt>
                <c:pt idx="9">
                  <c:v>1.7942890386907695</c:v>
                </c:pt>
                <c:pt idx="10">
                  <c:v>1.6596009662725149</c:v>
                </c:pt>
                <c:pt idx="11">
                  <c:v>1.491813095461429</c:v>
                </c:pt>
                <c:pt idx="12">
                  <c:v>1.3179093741731791</c:v>
                </c:pt>
                <c:pt idx="13">
                  <c:v>1.1523840258046942</c:v>
                </c:pt>
                <c:pt idx="14">
                  <c:v>1.0019468864783001</c:v>
                </c:pt>
                <c:pt idx="15">
                  <c:v>0.86884227041173379</c:v>
                </c:pt>
                <c:pt idx="16">
                  <c:v>0.75293696858559811</c:v>
                </c:pt>
                <c:pt idx="17">
                  <c:v>0.65295025249763483</c:v>
                </c:pt>
                <c:pt idx="18">
                  <c:v>0.5671434471364194</c:v>
                </c:pt>
                <c:pt idx="19">
                  <c:v>0.49368742552506456</c:v>
                </c:pt>
                <c:pt idx="20">
                  <c:v>0.43084518305672709</c:v>
                </c:pt>
                <c:pt idx="21">
                  <c:v>0.37705161144164423</c:v>
                </c:pt>
                <c:pt idx="22">
                  <c:v>0.33093818307567252</c:v>
                </c:pt>
                <c:pt idx="23">
                  <c:v>0.29132963588036281</c:v>
                </c:pt>
                <c:pt idx="24">
                  <c:v>0.25722769868183609</c:v>
                </c:pt>
                <c:pt idx="25">
                  <c:v>0.22778997774393697</c:v>
                </c:pt>
                <c:pt idx="26">
                  <c:v>0.20230821093649032</c:v>
                </c:pt>
                <c:pt idx="27">
                  <c:v>0.18018791799080972</c:v>
                </c:pt>
                <c:pt idx="28">
                  <c:v>0.1609302895996407</c:v>
                </c:pt>
                <c:pt idx="29">
                  <c:v>0.1441165338367035</c:v>
                </c:pt>
                <c:pt idx="30">
                  <c:v>0.12939458776562029</c:v>
                </c:pt>
                <c:pt idx="31">
                  <c:v>0.11646796368668613</c:v>
                </c:pt>
                <c:pt idx="32">
                  <c:v>0.10508645300422638</c:v>
                </c:pt>
                <c:pt idx="33">
                  <c:v>9.5038411139096571E-2</c:v>
                </c:pt>
                <c:pt idx="34">
                  <c:v>8.614436933235399E-2</c:v>
                </c:pt>
                <c:pt idx="35">
                  <c:v>7.8251750106174855E-2</c:v>
                </c:pt>
                <c:pt idx="36">
                  <c:v>7.1230495547117023E-2</c:v>
                </c:pt>
                <c:pt idx="37">
                  <c:v>6.4969448038361591E-2</c:v>
                </c:pt>
                <c:pt idx="38">
                  <c:v>5.9373350145605581E-2</c:v>
                </c:pt>
                <c:pt idx="39">
                  <c:v>5.43603536537791E-2</c:v>
                </c:pt>
                <c:pt idx="40">
                  <c:v>4.985994738019249E-2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51-BC9B-E8A8A482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34432"/>
        <c:axId val="129236352"/>
      </c:areaChart>
      <c:catAx>
        <c:axId val="12923443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29236352"/>
        <c:crosses val="autoZero"/>
        <c:auto val="1"/>
        <c:lblAlgn val="ctr"/>
        <c:lblOffset val="100"/>
        <c:noMultiLvlLbl val="0"/>
      </c:catAx>
      <c:valAx>
        <c:axId val="129236352"/>
        <c:scaling>
          <c:orientation val="minMax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129234432"/>
        <c:crosses val="autoZero"/>
        <c:crossBetween val="midCat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Irradiancia del sol sobre la tierra </a:t>
            </a:r>
          </a:p>
        </c:rich>
      </c:tx>
      <c:layout>
        <c:manualLayout>
          <c:xMode val="edge"/>
          <c:yMode val="edge"/>
          <c:x val="0.24962699972566252"/>
          <c:y val="3.092468856242323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22855925885298"/>
          <c:y val="0.13350294922182437"/>
          <c:w val="0.8556092704094147"/>
          <c:h val="0.71333055701188486"/>
        </c:manualLayout>
      </c:layout>
      <c:scatterChart>
        <c:scatterStyle val="smoothMarker"/>
        <c:varyColors val="0"/>
        <c:ser>
          <c:idx val="1"/>
          <c:order val="0"/>
          <c:tx>
            <c:v>Irradiancia solar: T = 5.778 [K]</c:v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'Irradiancia solar'!$L$7:$L$47</c:f>
              <c:numCache>
                <c:formatCode>#,##0</c:formatCode>
                <c:ptCount val="41"/>
                <c:pt idx="0">
                  <c:v>0</c:v>
                </c:pt>
                <c:pt idx="1">
                  <c:v>62.6</c:v>
                </c:pt>
                <c:pt idx="2">
                  <c:v>125.2</c:v>
                </c:pt>
                <c:pt idx="3">
                  <c:v>187.8</c:v>
                </c:pt>
                <c:pt idx="4">
                  <c:v>250.4</c:v>
                </c:pt>
                <c:pt idx="5">
                  <c:v>313</c:v>
                </c:pt>
                <c:pt idx="6">
                  <c:v>375.6</c:v>
                </c:pt>
                <c:pt idx="7">
                  <c:v>438.20000000000005</c:v>
                </c:pt>
                <c:pt idx="8">
                  <c:v>500.80000000000007</c:v>
                </c:pt>
                <c:pt idx="9">
                  <c:v>563.40000000000009</c:v>
                </c:pt>
                <c:pt idx="10">
                  <c:v>626.00000000000011</c:v>
                </c:pt>
                <c:pt idx="11">
                  <c:v>688.60000000000014</c:v>
                </c:pt>
                <c:pt idx="12">
                  <c:v>751.20000000000016</c:v>
                </c:pt>
                <c:pt idx="13">
                  <c:v>813.80000000000018</c:v>
                </c:pt>
                <c:pt idx="14">
                  <c:v>876.4000000000002</c:v>
                </c:pt>
                <c:pt idx="15">
                  <c:v>939.00000000000023</c:v>
                </c:pt>
                <c:pt idx="16">
                  <c:v>1001.6000000000003</c:v>
                </c:pt>
                <c:pt idx="17">
                  <c:v>1064.2000000000003</c:v>
                </c:pt>
                <c:pt idx="18">
                  <c:v>1126.8000000000002</c:v>
                </c:pt>
                <c:pt idx="19">
                  <c:v>1189.4000000000001</c:v>
                </c:pt>
                <c:pt idx="20">
                  <c:v>1252</c:v>
                </c:pt>
                <c:pt idx="21">
                  <c:v>1314.6</c:v>
                </c:pt>
                <c:pt idx="22">
                  <c:v>1377.1999999999998</c:v>
                </c:pt>
                <c:pt idx="23">
                  <c:v>1439.7999999999997</c:v>
                </c:pt>
                <c:pt idx="24">
                  <c:v>1502.3999999999996</c:v>
                </c:pt>
                <c:pt idx="25">
                  <c:v>1564.9999999999995</c:v>
                </c:pt>
                <c:pt idx="26">
                  <c:v>1627.5999999999995</c:v>
                </c:pt>
                <c:pt idx="27">
                  <c:v>1690.1999999999994</c:v>
                </c:pt>
                <c:pt idx="28">
                  <c:v>1752.7999999999993</c:v>
                </c:pt>
                <c:pt idx="29">
                  <c:v>1815.3999999999992</c:v>
                </c:pt>
                <c:pt idx="30">
                  <c:v>1877.9999999999991</c:v>
                </c:pt>
                <c:pt idx="31">
                  <c:v>1940.599999999999</c:v>
                </c:pt>
                <c:pt idx="32">
                  <c:v>2003.1999999999989</c:v>
                </c:pt>
                <c:pt idx="33">
                  <c:v>2065.7999999999988</c:v>
                </c:pt>
                <c:pt idx="34">
                  <c:v>2128.3999999999987</c:v>
                </c:pt>
                <c:pt idx="35">
                  <c:v>2190.9999999999986</c:v>
                </c:pt>
                <c:pt idx="36">
                  <c:v>2253.5999999999985</c:v>
                </c:pt>
                <c:pt idx="37">
                  <c:v>2316.1999999999985</c:v>
                </c:pt>
                <c:pt idx="38">
                  <c:v>2378.7999999999984</c:v>
                </c:pt>
                <c:pt idx="39">
                  <c:v>2441.3999999999983</c:v>
                </c:pt>
                <c:pt idx="40">
                  <c:v>2503.9999999999982</c:v>
                </c:pt>
              </c:numCache>
            </c:numRef>
          </c:xVal>
          <c:yVal>
            <c:numRef>
              <c:f>'Irradiancia solar'!$M$7:$M$47</c:f>
              <c:numCache>
                <c:formatCode>#,##0.0</c:formatCode>
                <c:ptCount val="41"/>
                <c:pt idx="1">
                  <c:v>4.6133049536828006E-11</c:v>
                </c:pt>
                <c:pt idx="2">
                  <c:v>6.2591951819801375E-4</c:v>
                </c:pt>
                <c:pt idx="3">
                  <c:v>6.2413958087137768E-2</c:v>
                </c:pt>
                <c:pt idx="4">
                  <c:v>0.40758436164359668</c:v>
                </c:pt>
                <c:pt idx="5">
                  <c:v>0.9762579181076243</c:v>
                </c:pt>
                <c:pt idx="6">
                  <c:v>1.4788484825223633</c:v>
                </c:pt>
                <c:pt idx="7">
                  <c:v>1.76772217075357</c:v>
                </c:pt>
                <c:pt idx="8">
                  <c:v>1.8513131147739581</c:v>
                </c:pt>
                <c:pt idx="9">
                  <c:v>1.7942890386907695</c:v>
                </c:pt>
                <c:pt idx="10">
                  <c:v>1.6596009662725149</c:v>
                </c:pt>
                <c:pt idx="11">
                  <c:v>1.491813095461429</c:v>
                </c:pt>
                <c:pt idx="12">
                  <c:v>1.3179093741731791</c:v>
                </c:pt>
                <c:pt idx="13">
                  <c:v>1.1523840258046942</c:v>
                </c:pt>
                <c:pt idx="14">
                  <c:v>1.0019468864783001</c:v>
                </c:pt>
                <c:pt idx="15">
                  <c:v>0.86884227041173379</c:v>
                </c:pt>
                <c:pt idx="16">
                  <c:v>0.75293696858559811</c:v>
                </c:pt>
                <c:pt idx="17">
                  <c:v>0.65295025249763483</c:v>
                </c:pt>
                <c:pt idx="18">
                  <c:v>0.5671434471364194</c:v>
                </c:pt>
                <c:pt idx="19">
                  <c:v>0.49368742552506456</c:v>
                </c:pt>
                <c:pt idx="20">
                  <c:v>0.43084518305672709</c:v>
                </c:pt>
                <c:pt idx="21">
                  <c:v>0.37705161144164423</c:v>
                </c:pt>
                <c:pt idx="22">
                  <c:v>0.33093818307567252</c:v>
                </c:pt>
                <c:pt idx="23">
                  <c:v>0.29132963588036281</c:v>
                </c:pt>
                <c:pt idx="24">
                  <c:v>0.25722769868183609</c:v>
                </c:pt>
                <c:pt idx="25">
                  <c:v>0.22778997774393697</c:v>
                </c:pt>
                <c:pt idx="26">
                  <c:v>0.20230821093649032</c:v>
                </c:pt>
                <c:pt idx="27">
                  <c:v>0.18018791799080972</c:v>
                </c:pt>
                <c:pt idx="28">
                  <c:v>0.1609302895996407</c:v>
                </c:pt>
                <c:pt idx="29">
                  <c:v>0.1441165338367035</c:v>
                </c:pt>
                <c:pt idx="30">
                  <c:v>0.12939458776562029</c:v>
                </c:pt>
                <c:pt idx="31">
                  <c:v>0.11646796368668613</c:v>
                </c:pt>
                <c:pt idx="32">
                  <c:v>0.10508645300422638</c:v>
                </c:pt>
                <c:pt idx="33">
                  <c:v>9.5038411139096571E-2</c:v>
                </c:pt>
                <c:pt idx="34">
                  <c:v>8.614436933235399E-2</c:v>
                </c:pt>
                <c:pt idx="35">
                  <c:v>7.8251750106174855E-2</c:v>
                </c:pt>
                <c:pt idx="36">
                  <c:v>7.1230495547117023E-2</c:v>
                </c:pt>
                <c:pt idx="37">
                  <c:v>6.4969448038361591E-2</c:v>
                </c:pt>
                <c:pt idx="38">
                  <c:v>5.9373350145605581E-2</c:v>
                </c:pt>
                <c:pt idx="39">
                  <c:v>5.43603536537791E-2</c:v>
                </c:pt>
                <c:pt idx="40">
                  <c:v>4.985994738019249E-2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B64-4AE1-8202-EC289FCEAC79}"/>
            </c:ext>
          </c:extLst>
        </c:ser>
        <c:ser>
          <c:idx val="0"/>
          <c:order val="1"/>
          <c:tx>
            <c:v>Iradiancia solar: T = 5.778 [K]</c:v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'Irradiancia solar'!$L$7:$L$47</c:f>
              <c:numCache>
                <c:formatCode>#,##0</c:formatCode>
                <c:ptCount val="41"/>
                <c:pt idx="0">
                  <c:v>0</c:v>
                </c:pt>
                <c:pt idx="1">
                  <c:v>62.6</c:v>
                </c:pt>
                <c:pt idx="2">
                  <c:v>125.2</c:v>
                </c:pt>
                <c:pt idx="3">
                  <c:v>187.8</c:v>
                </c:pt>
                <c:pt idx="4">
                  <c:v>250.4</c:v>
                </c:pt>
                <c:pt idx="5">
                  <c:v>313</c:v>
                </c:pt>
                <c:pt idx="6">
                  <c:v>375.6</c:v>
                </c:pt>
                <c:pt idx="7">
                  <c:v>438.20000000000005</c:v>
                </c:pt>
                <c:pt idx="8">
                  <c:v>500.80000000000007</c:v>
                </c:pt>
                <c:pt idx="9">
                  <c:v>563.40000000000009</c:v>
                </c:pt>
                <c:pt idx="10">
                  <c:v>626.00000000000011</c:v>
                </c:pt>
                <c:pt idx="11">
                  <c:v>688.60000000000014</c:v>
                </c:pt>
                <c:pt idx="12">
                  <c:v>751.20000000000016</c:v>
                </c:pt>
                <c:pt idx="13">
                  <c:v>813.80000000000018</c:v>
                </c:pt>
                <c:pt idx="14">
                  <c:v>876.4000000000002</c:v>
                </c:pt>
                <c:pt idx="15">
                  <c:v>939.00000000000023</c:v>
                </c:pt>
                <c:pt idx="16">
                  <c:v>1001.6000000000003</c:v>
                </c:pt>
                <c:pt idx="17">
                  <c:v>1064.2000000000003</c:v>
                </c:pt>
                <c:pt idx="18">
                  <c:v>1126.8000000000002</c:v>
                </c:pt>
                <c:pt idx="19">
                  <c:v>1189.4000000000001</c:v>
                </c:pt>
                <c:pt idx="20">
                  <c:v>1252</c:v>
                </c:pt>
                <c:pt idx="21">
                  <c:v>1314.6</c:v>
                </c:pt>
                <c:pt idx="22">
                  <c:v>1377.1999999999998</c:v>
                </c:pt>
                <c:pt idx="23">
                  <c:v>1439.7999999999997</c:v>
                </c:pt>
                <c:pt idx="24">
                  <c:v>1502.3999999999996</c:v>
                </c:pt>
                <c:pt idx="25">
                  <c:v>1564.9999999999995</c:v>
                </c:pt>
                <c:pt idx="26">
                  <c:v>1627.5999999999995</c:v>
                </c:pt>
                <c:pt idx="27">
                  <c:v>1690.1999999999994</c:v>
                </c:pt>
                <c:pt idx="28">
                  <c:v>1752.7999999999993</c:v>
                </c:pt>
                <c:pt idx="29">
                  <c:v>1815.3999999999992</c:v>
                </c:pt>
                <c:pt idx="30">
                  <c:v>1877.9999999999991</c:v>
                </c:pt>
                <c:pt idx="31">
                  <c:v>1940.599999999999</c:v>
                </c:pt>
                <c:pt idx="32">
                  <c:v>2003.1999999999989</c:v>
                </c:pt>
                <c:pt idx="33">
                  <c:v>2065.7999999999988</c:v>
                </c:pt>
                <c:pt idx="34">
                  <c:v>2128.3999999999987</c:v>
                </c:pt>
                <c:pt idx="35">
                  <c:v>2190.9999999999986</c:v>
                </c:pt>
                <c:pt idx="36">
                  <c:v>2253.5999999999985</c:v>
                </c:pt>
                <c:pt idx="37">
                  <c:v>2316.1999999999985</c:v>
                </c:pt>
                <c:pt idx="38">
                  <c:v>2378.7999999999984</c:v>
                </c:pt>
                <c:pt idx="39">
                  <c:v>2441.3999999999983</c:v>
                </c:pt>
                <c:pt idx="40">
                  <c:v>2503.9999999999982</c:v>
                </c:pt>
              </c:numCache>
            </c:numRef>
          </c:xVal>
          <c:yVal>
            <c:numRef>
              <c:f>'Irradiancia solar'!$M$7:$M$47</c:f>
              <c:numCache>
                <c:formatCode>#,##0.0</c:formatCode>
                <c:ptCount val="41"/>
                <c:pt idx="1">
                  <c:v>4.6133049536828006E-11</c:v>
                </c:pt>
                <c:pt idx="2">
                  <c:v>6.2591951819801375E-4</c:v>
                </c:pt>
                <c:pt idx="3">
                  <c:v>6.2413958087137768E-2</c:v>
                </c:pt>
                <c:pt idx="4">
                  <c:v>0.40758436164359668</c:v>
                </c:pt>
                <c:pt idx="5">
                  <c:v>0.9762579181076243</c:v>
                </c:pt>
                <c:pt idx="6">
                  <c:v>1.4788484825223633</c:v>
                </c:pt>
                <c:pt idx="7">
                  <c:v>1.76772217075357</c:v>
                </c:pt>
                <c:pt idx="8">
                  <c:v>1.8513131147739581</c:v>
                </c:pt>
                <c:pt idx="9">
                  <c:v>1.7942890386907695</c:v>
                </c:pt>
                <c:pt idx="10">
                  <c:v>1.6596009662725149</c:v>
                </c:pt>
                <c:pt idx="11">
                  <c:v>1.491813095461429</c:v>
                </c:pt>
                <c:pt idx="12">
                  <c:v>1.3179093741731791</c:v>
                </c:pt>
                <c:pt idx="13">
                  <c:v>1.1523840258046942</c:v>
                </c:pt>
                <c:pt idx="14">
                  <c:v>1.0019468864783001</c:v>
                </c:pt>
                <c:pt idx="15">
                  <c:v>0.86884227041173379</c:v>
                </c:pt>
                <c:pt idx="16">
                  <c:v>0.75293696858559811</c:v>
                </c:pt>
                <c:pt idx="17">
                  <c:v>0.65295025249763483</c:v>
                </c:pt>
                <c:pt idx="18">
                  <c:v>0.5671434471364194</c:v>
                </c:pt>
                <c:pt idx="19">
                  <c:v>0.49368742552506456</c:v>
                </c:pt>
                <c:pt idx="20">
                  <c:v>0.43084518305672709</c:v>
                </c:pt>
                <c:pt idx="21">
                  <c:v>0.37705161144164423</c:v>
                </c:pt>
                <c:pt idx="22">
                  <c:v>0.33093818307567252</c:v>
                </c:pt>
                <c:pt idx="23">
                  <c:v>0.29132963588036281</c:v>
                </c:pt>
                <c:pt idx="24">
                  <c:v>0.25722769868183609</c:v>
                </c:pt>
                <c:pt idx="25">
                  <c:v>0.22778997774393697</c:v>
                </c:pt>
                <c:pt idx="26">
                  <c:v>0.20230821093649032</c:v>
                </c:pt>
                <c:pt idx="27">
                  <c:v>0.18018791799080972</c:v>
                </c:pt>
                <c:pt idx="28">
                  <c:v>0.1609302895996407</c:v>
                </c:pt>
                <c:pt idx="29">
                  <c:v>0.1441165338367035</c:v>
                </c:pt>
                <c:pt idx="30">
                  <c:v>0.12939458776562029</c:v>
                </c:pt>
                <c:pt idx="31">
                  <c:v>0.11646796368668613</c:v>
                </c:pt>
                <c:pt idx="32">
                  <c:v>0.10508645300422638</c:v>
                </c:pt>
                <c:pt idx="33">
                  <c:v>9.5038411139096571E-2</c:v>
                </c:pt>
                <c:pt idx="34">
                  <c:v>8.614436933235399E-2</c:v>
                </c:pt>
                <c:pt idx="35">
                  <c:v>7.8251750106174855E-2</c:v>
                </c:pt>
                <c:pt idx="36">
                  <c:v>7.1230495547117023E-2</c:v>
                </c:pt>
                <c:pt idx="37">
                  <c:v>6.4969448038361591E-2</c:v>
                </c:pt>
                <c:pt idx="38">
                  <c:v>5.9373350145605581E-2</c:v>
                </c:pt>
                <c:pt idx="39">
                  <c:v>5.43603536537791E-2</c:v>
                </c:pt>
                <c:pt idx="40">
                  <c:v>4.985994738019249E-2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B64-4AE1-8202-EC289FCE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34432"/>
        <c:axId val="129236352"/>
      </c:scatterChart>
      <c:valAx>
        <c:axId val="129234432"/>
        <c:scaling>
          <c:orientation val="minMax"/>
          <c:max val="25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1">
                    <a:latin typeface="+mn-lt"/>
                  </a:rPr>
                  <a:t>Longitud de onda </a:t>
                </a:r>
                <a:r>
                  <a:rPr lang="es-ES" sz="1100" b="1" i="0" u="none" strike="noStrike" baseline="0">
                    <a:effectLst/>
                  </a:rPr>
                  <a:t>𝜆</a:t>
                </a:r>
                <a:r>
                  <a:rPr lang="en-US" sz="1100" b="1">
                    <a:latin typeface="+mn-lt"/>
                  </a:rPr>
                  <a:t> [</a:t>
                </a:r>
                <a:r>
                  <a:rPr lang="en-US" sz="1100" b="1" i="1">
                    <a:latin typeface="+mn-lt"/>
                    <a:cs typeface="Times New Roman" pitchFamily="18" charset="0"/>
                  </a:rPr>
                  <a:t>nm</a:t>
                </a:r>
                <a:r>
                  <a:rPr lang="en-US" sz="1100" b="1" i="0">
                    <a:latin typeface="+mn-lt"/>
                    <a:cs typeface="Times New Roman" pitchFamily="18" charset="0"/>
                  </a:rPr>
                  <a:t>]</a:t>
                </a:r>
                <a:endParaRPr lang="en-US" sz="11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39132836521117559"/>
              <c:y val="0.9213085741893075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anchor="b" anchorCtr="1"/>
          <a:lstStyle/>
          <a:p>
            <a:pPr>
              <a:defRPr/>
            </a:pPr>
            <a:endParaRPr lang="es-CL"/>
          </a:p>
        </c:txPr>
        <c:crossAx val="129236352"/>
        <c:crosses val="autoZero"/>
        <c:crossBetween val="midCat"/>
        <c:majorUnit val="250"/>
        <c:minorUnit val="25"/>
      </c:valAx>
      <c:valAx>
        <c:axId val="1292363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1" i="0">
                    <a:latin typeface="+mn-lt"/>
                  </a:rPr>
                  <a:t>Irradiancia</a:t>
                </a:r>
                <a:r>
                  <a:rPr lang="en-US" sz="1100" b="1" i="0" baseline="0">
                    <a:latin typeface="+mn-lt"/>
                  </a:rPr>
                  <a:t> dp/d</a:t>
                </a:r>
                <a:r>
                  <a:rPr lang="es-ES" sz="1100" b="1" i="0" u="none" strike="noStrike" baseline="0">
                    <a:effectLst/>
                  </a:rPr>
                  <a:t>𝜆</a:t>
                </a:r>
                <a:r>
                  <a:rPr lang="en-US" sz="1100" b="1" i="0">
                    <a:latin typeface="+mn-lt"/>
                  </a:rPr>
                  <a:t> [</a:t>
                </a:r>
                <a:r>
                  <a:rPr lang="en-US" sz="1100" b="1" i="0">
                    <a:latin typeface="+mn-lt"/>
                    <a:cs typeface="Times New Roman" pitchFamily="18" charset="0"/>
                  </a:rPr>
                  <a:t>W/m</a:t>
                </a:r>
                <a:r>
                  <a:rPr lang="en-US" sz="1100" b="1" i="0" baseline="30000">
                    <a:latin typeface="+mn-lt"/>
                    <a:cs typeface="Times New Roman" pitchFamily="18" charset="0"/>
                  </a:rPr>
                  <a:t>2</a:t>
                </a:r>
                <a:r>
                  <a:rPr lang="en-US" sz="1100" b="1" i="0">
                    <a:latin typeface="+mn-lt"/>
                    <a:cs typeface="Times New Roman" pitchFamily="18" charset="0"/>
                  </a:rPr>
                  <a:t> nm</a:t>
                </a:r>
                <a:r>
                  <a:rPr lang="en-US" sz="1100" b="1" i="0">
                    <a:latin typeface="+mn-lt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3.4002576500209805E-3"/>
              <c:y val="0.2600365871612136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29234432"/>
        <c:crosses val="autoZero"/>
        <c:crossBetween val="midCat"/>
      </c:valAx>
      <c:spPr>
        <a:solidFill>
          <a:schemeClr val="bg1">
            <a:alpha val="36000"/>
          </a:schemeClr>
        </a:solidFill>
      </c:spPr>
    </c:plotArea>
    <c:legend>
      <c:legendPos val="r"/>
      <c:layout>
        <c:manualLayout>
          <c:xMode val="edge"/>
          <c:yMode val="edge"/>
          <c:x val="0.50798176819730101"/>
          <c:y val="0.13798875341927536"/>
          <c:w val="0.45075865583198105"/>
          <c:h val="8.8548135599546315E-2"/>
        </c:manualLayout>
      </c:layout>
      <c:overlay val="0"/>
      <c:spPr>
        <a:solidFill>
          <a:schemeClr val="bg1">
            <a:lumMod val="95000"/>
          </a:schemeClr>
        </a:solidFill>
      </c:spPr>
      <c:txPr>
        <a:bodyPr/>
        <a:lstStyle/>
        <a:p>
          <a:pPr>
            <a:defRPr sz="1300" baseline="0"/>
          </a:pPr>
          <a:endParaRPr lang="es-CL"/>
        </a:p>
      </c:txPr>
    </c:legend>
    <c:plotVisOnly val="1"/>
    <c:dispBlanksAs val="gap"/>
    <c:showDLblsOverMax val="0"/>
  </c:chart>
  <c:spPr>
    <a:solidFill>
      <a:schemeClr val="bg1">
        <a:alpha val="22000"/>
      </a:schemeClr>
    </a:solidFill>
    <a:ln>
      <a:solidFill>
        <a:schemeClr val="tx1"/>
      </a:solidFill>
    </a:ln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Potencia transferible en función</a:t>
            </a:r>
            <a:r>
              <a:rPr lang="en-US" sz="1400" baseline="0"/>
              <a:t> de la ralentización</a:t>
            </a:r>
            <a:endParaRPr lang="en-US" sz="1400"/>
          </a:p>
        </c:rich>
      </c:tx>
      <c:layout>
        <c:manualLayout>
          <c:xMode val="edge"/>
          <c:yMode val="edge"/>
          <c:x val="0.17896033600261799"/>
          <c:y val="2.333340525418671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95447889010343"/>
          <c:y val="0.10596220472440976"/>
          <c:w val="0.8111703409894937"/>
          <c:h val="0.75053228346456691"/>
        </c:manualLayout>
      </c:layout>
      <c:scatterChart>
        <c:scatterStyle val="smoothMarker"/>
        <c:varyColors val="0"/>
        <c:ser>
          <c:idx val="0"/>
          <c:order val="0"/>
          <c:tx>
            <c:v>β = f(r)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Betz!$C$7:$C$58</c:f>
              <c:numCache>
                <c:formatCode>0.00</c:formatCode>
                <c:ptCount val="5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0.33333333333333331</c:v>
                </c:pt>
                <c:pt idx="18">
                  <c:v>0.34</c:v>
                </c:pt>
                <c:pt idx="19">
                  <c:v>0.36000000000000004</c:v>
                </c:pt>
                <c:pt idx="20">
                  <c:v>0.38000000000000006</c:v>
                </c:pt>
                <c:pt idx="21">
                  <c:v>0.40000000000000008</c:v>
                </c:pt>
                <c:pt idx="22">
                  <c:v>0.4200000000000001</c:v>
                </c:pt>
                <c:pt idx="23">
                  <c:v>0.44000000000000011</c:v>
                </c:pt>
                <c:pt idx="24">
                  <c:v>0.46000000000000013</c:v>
                </c:pt>
                <c:pt idx="25">
                  <c:v>0.48000000000000015</c:v>
                </c:pt>
                <c:pt idx="26">
                  <c:v>0.50000000000000011</c:v>
                </c:pt>
                <c:pt idx="27">
                  <c:v>0.52000000000000013</c:v>
                </c:pt>
                <c:pt idx="28">
                  <c:v>0.54000000000000015</c:v>
                </c:pt>
                <c:pt idx="29">
                  <c:v>0.56000000000000016</c:v>
                </c:pt>
                <c:pt idx="30">
                  <c:v>0.58000000000000018</c:v>
                </c:pt>
                <c:pt idx="31">
                  <c:v>0.6000000000000002</c:v>
                </c:pt>
                <c:pt idx="32">
                  <c:v>0.62000000000000022</c:v>
                </c:pt>
                <c:pt idx="33">
                  <c:v>0.64000000000000024</c:v>
                </c:pt>
                <c:pt idx="34">
                  <c:v>0.66000000000000025</c:v>
                </c:pt>
                <c:pt idx="35">
                  <c:v>0.68000000000000027</c:v>
                </c:pt>
                <c:pt idx="36">
                  <c:v>0.70000000000000029</c:v>
                </c:pt>
                <c:pt idx="37">
                  <c:v>0.72000000000000031</c:v>
                </c:pt>
                <c:pt idx="38">
                  <c:v>0.74000000000000032</c:v>
                </c:pt>
                <c:pt idx="39">
                  <c:v>0.76000000000000034</c:v>
                </c:pt>
                <c:pt idx="40">
                  <c:v>0.78000000000000036</c:v>
                </c:pt>
                <c:pt idx="41">
                  <c:v>0.80000000000000038</c:v>
                </c:pt>
                <c:pt idx="42">
                  <c:v>0.8200000000000004</c:v>
                </c:pt>
                <c:pt idx="43">
                  <c:v>0.84000000000000041</c:v>
                </c:pt>
                <c:pt idx="44">
                  <c:v>0.86000000000000043</c:v>
                </c:pt>
                <c:pt idx="45">
                  <c:v>0.88000000000000045</c:v>
                </c:pt>
                <c:pt idx="46">
                  <c:v>0.90000000000000047</c:v>
                </c:pt>
                <c:pt idx="47">
                  <c:v>0.92000000000000048</c:v>
                </c:pt>
                <c:pt idx="48">
                  <c:v>0.9400000000000005</c:v>
                </c:pt>
                <c:pt idx="49">
                  <c:v>0.96000000000000052</c:v>
                </c:pt>
                <c:pt idx="50">
                  <c:v>0.98000000000000054</c:v>
                </c:pt>
                <c:pt idx="51">
                  <c:v>1.0000000000000004</c:v>
                </c:pt>
              </c:numCache>
            </c:numRef>
          </c:xVal>
          <c:yVal>
            <c:numRef>
              <c:f>Betz!$D$7:$D$58</c:f>
              <c:numCache>
                <c:formatCode>#,##0.000</c:formatCode>
                <c:ptCount val="52"/>
                <c:pt idx="0">
                  <c:v>0.5</c:v>
                </c:pt>
                <c:pt idx="1">
                  <c:v>0.50979600000000003</c:v>
                </c:pt>
                <c:pt idx="2">
                  <c:v>0.51916799999999996</c:v>
                </c:pt>
                <c:pt idx="3">
                  <c:v>0.52809200000000001</c:v>
                </c:pt>
                <c:pt idx="4">
                  <c:v>0.53654400000000002</c:v>
                </c:pt>
                <c:pt idx="5">
                  <c:v>0.5445000000000001</c:v>
                </c:pt>
                <c:pt idx="6">
                  <c:v>0.55193600000000009</c:v>
                </c:pt>
                <c:pt idx="7">
                  <c:v>0.55882799999999999</c:v>
                </c:pt>
                <c:pt idx="8">
                  <c:v>0.56515199999999988</c:v>
                </c:pt>
                <c:pt idx="9">
                  <c:v>0.57088399999999995</c:v>
                </c:pt>
                <c:pt idx="10">
                  <c:v>0.57599999999999996</c:v>
                </c:pt>
                <c:pt idx="11">
                  <c:v>0.58047599999999999</c:v>
                </c:pt>
                <c:pt idx="12">
                  <c:v>0.58428799999999992</c:v>
                </c:pt>
                <c:pt idx="13">
                  <c:v>0.58741200000000005</c:v>
                </c:pt>
                <c:pt idx="14">
                  <c:v>0.58982400000000001</c:v>
                </c:pt>
                <c:pt idx="15">
                  <c:v>0.59150000000000003</c:v>
                </c:pt>
                <c:pt idx="16">
                  <c:v>0.59241600000000005</c:v>
                </c:pt>
                <c:pt idx="17">
                  <c:v>0.59259259259259256</c:v>
                </c:pt>
                <c:pt idx="18">
                  <c:v>0.59254800000000007</c:v>
                </c:pt>
                <c:pt idx="19">
                  <c:v>0.59187200000000006</c:v>
                </c:pt>
                <c:pt idx="20">
                  <c:v>0.590364</c:v>
                </c:pt>
                <c:pt idx="21">
                  <c:v>0.58799999999999997</c:v>
                </c:pt>
                <c:pt idx="22">
                  <c:v>0.58475599999999994</c:v>
                </c:pt>
                <c:pt idx="23">
                  <c:v>0.5806079999999999</c:v>
                </c:pt>
                <c:pt idx="24">
                  <c:v>0.57553200000000004</c:v>
                </c:pt>
                <c:pt idx="25">
                  <c:v>0.56950400000000001</c:v>
                </c:pt>
                <c:pt idx="26">
                  <c:v>0.5625</c:v>
                </c:pt>
                <c:pt idx="27">
                  <c:v>0.55449599999999988</c:v>
                </c:pt>
                <c:pt idx="28">
                  <c:v>0.54546799999999995</c:v>
                </c:pt>
                <c:pt idx="29">
                  <c:v>0.53539199999999987</c:v>
                </c:pt>
                <c:pt idx="30">
                  <c:v>0.52424399999999982</c:v>
                </c:pt>
                <c:pt idx="31">
                  <c:v>0.51199999999999979</c:v>
                </c:pt>
                <c:pt idx="32">
                  <c:v>0.49863599999999975</c:v>
                </c:pt>
                <c:pt idx="33">
                  <c:v>0.48412799999999984</c:v>
                </c:pt>
                <c:pt idx="34">
                  <c:v>0.4684519999999997</c:v>
                </c:pt>
                <c:pt idx="35">
                  <c:v>0.45158399999999971</c:v>
                </c:pt>
                <c:pt idx="36">
                  <c:v>0.43349999999999966</c:v>
                </c:pt>
                <c:pt idx="37">
                  <c:v>0.41417599999999966</c:v>
                </c:pt>
                <c:pt idx="38">
                  <c:v>0.39358799999999955</c:v>
                </c:pt>
                <c:pt idx="39">
                  <c:v>0.37171199999999949</c:v>
                </c:pt>
                <c:pt idx="40">
                  <c:v>0.3485239999999995</c:v>
                </c:pt>
                <c:pt idx="41">
                  <c:v>0.32399999999999951</c:v>
                </c:pt>
                <c:pt idx="42">
                  <c:v>0.29811599999999944</c:v>
                </c:pt>
                <c:pt idx="43">
                  <c:v>0.27084799999999937</c:v>
                </c:pt>
                <c:pt idx="44">
                  <c:v>0.24217199999999933</c:v>
                </c:pt>
                <c:pt idx="45">
                  <c:v>0.21206399999999925</c:v>
                </c:pt>
                <c:pt idx="46">
                  <c:v>0.18049999999999916</c:v>
                </c:pt>
                <c:pt idx="47">
                  <c:v>0.14745599999999909</c:v>
                </c:pt>
                <c:pt idx="48">
                  <c:v>0.11290799999999912</c:v>
                </c:pt>
                <c:pt idx="49">
                  <c:v>7.6831999999998957E-2</c:v>
                </c:pt>
                <c:pt idx="50">
                  <c:v>3.9203999999998962E-2</c:v>
                </c:pt>
                <c:pt idx="51">
                  <c:v>-8.8817841970012523E-16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64-4734-B07B-2CBFF6C74025}"/>
            </c:ext>
          </c:extLst>
        </c:ser>
        <c:ser>
          <c:idx val="1"/>
          <c:order val="1"/>
          <c:tx>
            <c:v>βB = 0,5926</c:v>
          </c:tx>
          <c:spPr>
            <a:ln w="19050">
              <a:solidFill>
                <a:srgbClr val="FF0000"/>
              </a:solidFill>
              <a:prstDash val="lgDashDot"/>
            </a:ln>
          </c:spPr>
          <c:marker>
            <c:symbol val="none"/>
          </c:marker>
          <c:xVal>
            <c:numRef>
              <c:f>Betz!$C$7:$C$58</c:f>
              <c:numCache>
                <c:formatCode>0.00</c:formatCode>
                <c:ptCount val="5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0.33333333333333331</c:v>
                </c:pt>
                <c:pt idx="18">
                  <c:v>0.34</c:v>
                </c:pt>
                <c:pt idx="19">
                  <c:v>0.36000000000000004</c:v>
                </c:pt>
                <c:pt idx="20">
                  <c:v>0.38000000000000006</c:v>
                </c:pt>
                <c:pt idx="21">
                  <c:v>0.40000000000000008</c:v>
                </c:pt>
                <c:pt idx="22">
                  <c:v>0.4200000000000001</c:v>
                </c:pt>
                <c:pt idx="23">
                  <c:v>0.44000000000000011</c:v>
                </c:pt>
                <c:pt idx="24">
                  <c:v>0.46000000000000013</c:v>
                </c:pt>
                <c:pt idx="25">
                  <c:v>0.48000000000000015</c:v>
                </c:pt>
                <c:pt idx="26">
                  <c:v>0.50000000000000011</c:v>
                </c:pt>
                <c:pt idx="27">
                  <c:v>0.52000000000000013</c:v>
                </c:pt>
                <c:pt idx="28">
                  <c:v>0.54000000000000015</c:v>
                </c:pt>
                <c:pt idx="29">
                  <c:v>0.56000000000000016</c:v>
                </c:pt>
                <c:pt idx="30">
                  <c:v>0.58000000000000018</c:v>
                </c:pt>
                <c:pt idx="31">
                  <c:v>0.6000000000000002</c:v>
                </c:pt>
                <c:pt idx="32">
                  <c:v>0.62000000000000022</c:v>
                </c:pt>
                <c:pt idx="33">
                  <c:v>0.64000000000000024</c:v>
                </c:pt>
                <c:pt idx="34">
                  <c:v>0.66000000000000025</c:v>
                </c:pt>
                <c:pt idx="35">
                  <c:v>0.68000000000000027</c:v>
                </c:pt>
                <c:pt idx="36">
                  <c:v>0.70000000000000029</c:v>
                </c:pt>
                <c:pt idx="37">
                  <c:v>0.72000000000000031</c:v>
                </c:pt>
                <c:pt idx="38">
                  <c:v>0.74000000000000032</c:v>
                </c:pt>
                <c:pt idx="39">
                  <c:v>0.76000000000000034</c:v>
                </c:pt>
                <c:pt idx="40">
                  <c:v>0.78000000000000036</c:v>
                </c:pt>
                <c:pt idx="41">
                  <c:v>0.80000000000000038</c:v>
                </c:pt>
                <c:pt idx="42">
                  <c:v>0.8200000000000004</c:v>
                </c:pt>
                <c:pt idx="43">
                  <c:v>0.84000000000000041</c:v>
                </c:pt>
                <c:pt idx="44">
                  <c:v>0.86000000000000043</c:v>
                </c:pt>
                <c:pt idx="45">
                  <c:v>0.88000000000000045</c:v>
                </c:pt>
                <c:pt idx="46">
                  <c:v>0.90000000000000047</c:v>
                </c:pt>
                <c:pt idx="47">
                  <c:v>0.92000000000000048</c:v>
                </c:pt>
                <c:pt idx="48">
                  <c:v>0.9400000000000005</c:v>
                </c:pt>
                <c:pt idx="49">
                  <c:v>0.96000000000000052</c:v>
                </c:pt>
                <c:pt idx="50">
                  <c:v>0.98000000000000054</c:v>
                </c:pt>
                <c:pt idx="51">
                  <c:v>1.0000000000000004</c:v>
                </c:pt>
              </c:numCache>
            </c:numRef>
          </c:xVal>
          <c:yVal>
            <c:numRef>
              <c:f>Betz!$E$7:$E$58</c:f>
              <c:numCache>
                <c:formatCode>#,##0.000</c:formatCode>
                <c:ptCount val="52"/>
                <c:pt idx="0">
                  <c:v>0.59259259259259256</c:v>
                </c:pt>
                <c:pt idx="1">
                  <c:v>0.59259259259259256</c:v>
                </c:pt>
                <c:pt idx="2">
                  <c:v>0.59259259259259256</c:v>
                </c:pt>
                <c:pt idx="3">
                  <c:v>0.59259259259259256</c:v>
                </c:pt>
                <c:pt idx="4">
                  <c:v>0.59259259259259256</c:v>
                </c:pt>
                <c:pt idx="5">
                  <c:v>0.59259259259259256</c:v>
                </c:pt>
                <c:pt idx="6">
                  <c:v>0.59259259259259256</c:v>
                </c:pt>
                <c:pt idx="7">
                  <c:v>0.59259259259259256</c:v>
                </c:pt>
                <c:pt idx="8">
                  <c:v>0.59259259259259256</c:v>
                </c:pt>
                <c:pt idx="9">
                  <c:v>0.59259259259259256</c:v>
                </c:pt>
                <c:pt idx="10">
                  <c:v>0.59259259259259256</c:v>
                </c:pt>
                <c:pt idx="11">
                  <c:v>0.59259259259259256</c:v>
                </c:pt>
                <c:pt idx="12">
                  <c:v>0.59259259259259256</c:v>
                </c:pt>
                <c:pt idx="13">
                  <c:v>0.59259259259259256</c:v>
                </c:pt>
                <c:pt idx="14">
                  <c:v>0.59259259259259256</c:v>
                </c:pt>
                <c:pt idx="15">
                  <c:v>0.59259259259259256</c:v>
                </c:pt>
                <c:pt idx="16">
                  <c:v>0.59259259259259256</c:v>
                </c:pt>
                <c:pt idx="17">
                  <c:v>0.59259259259259256</c:v>
                </c:pt>
                <c:pt idx="18">
                  <c:v>0.59259259259259256</c:v>
                </c:pt>
                <c:pt idx="19">
                  <c:v>0.59259259259259256</c:v>
                </c:pt>
                <c:pt idx="20">
                  <c:v>0.59259259259259256</c:v>
                </c:pt>
                <c:pt idx="21">
                  <c:v>0.59259259259259256</c:v>
                </c:pt>
                <c:pt idx="22">
                  <c:v>0.59259259259259256</c:v>
                </c:pt>
                <c:pt idx="23">
                  <c:v>0.59259259259259256</c:v>
                </c:pt>
                <c:pt idx="24">
                  <c:v>0.59259259259259256</c:v>
                </c:pt>
                <c:pt idx="25">
                  <c:v>0.59259259259259256</c:v>
                </c:pt>
                <c:pt idx="26">
                  <c:v>0.59259259259259256</c:v>
                </c:pt>
                <c:pt idx="27">
                  <c:v>0.59259259259259256</c:v>
                </c:pt>
                <c:pt idx="28">
                  <c:v>0.59259259259259256</c:v>
                </c:pt>
                <c:pt idx="29">
                  <c:v>0.59259259259259256</c:v>
                </c:pt>
                <c:pt idx="30">
                  <c:v>0.59259259259259256</c:v>
                </c:pt>
                <c:pt idx="31">
                  <c:v>0.59259259259259256</c:v>
                </c:pt>
                <c:pt idx="32">
                  <c:v>0.59259259259259256</c:v>
                </c:pt>
                <c:pt idx="33">
                  <c:v>0.59259259259259256</c:v>
                </c:pt>
                <c:pt idx="34">
                  <c:v>0.59259259259259256</c:v>
                </c:pt>
                <c:pt idx="35">
                  <c:v>0.59259259259259256</c:v>
                </c:pt>
                <c:pt idx="36">
                  <c:v>0.59259259259259256</c:v>
                </c:pt>
                <c:pt idx="37">
                  <c:v>0.59259259259259256</c:v>
                </c:pt>
                <c:pt idx="38">
                  <c:v>0.59259259259259256</c:v>
                </c:pt>
                <c:pt idx="39">
                  <c:v>0.59259259259259256</c:v>
                </c:pt>
                <c:pt idx="40">
                  <c:v>0.59259259259259256</c:v>
                </c:pt>
                <c:pt idx="41">
                  <c:v>0.59259259259259256</c:v>
                </c:pt>
                <c:pt idx="42">
                  <c:v>0.59259259259259256</c:v>
                </c:pt>
                <c:pt idx="43">
                  <c:v>0.59259259259259256</c:v>
                </c:pt>
                <c:pt idx="44">
                  <c:v>0.59259259259259256</c:v>
                </c:pt>
                <c:pt idx="45">
                  <c:v>0.59259259259259256</c:v>
                </c:pt>
                <c:pt idx="46">
                  <c:v>0.59259259259259256</c:v>
                </c:pt>
                <c:pt idx="47">
                  <c:v>0.59259259259259256</c:v>
                </c:pt>
                <c:pt idx="48">
                  <c:v>0.59259259259259256</c:v>
                </c:pt>
                <c:pt idx="49">
                  <c:v>0.59259259259259256</c:v>
                </c:pt>
                <c:pt idx="50">
                  <c:v>0.59259259259259256</c:v>
                </c:pt>
                <c:pt idx="51">
                  <c:v>0.59259259259259256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64-4734-B07B-2CBFF6C74025}"/>
            </c:ext>
          </c:extLst>
        </c:ser>
        <c:ser>
          <c:idx val="2"/>
          <c:order val="2"/>
          <c:tx>
            <c:v>ro = 0,3333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Betz!$C$7:$C$58</c:f>
              <c:numCache>
                <c:formatCode>0.00</c:formatCode>
                <c:ptCount val="5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0.33333333333333331</c:v>
                </c:pt>
                <c:pt idx="18">
                  <c:v>0.34</c:v>
                </c:pt>
                <c:pt idx="19">
                  <c:v>0.36000000000000004</c:v>
                </c:pt>
                <c:pt idx="20">
                  <c:v>0.38000000000000006</c:v>
                </c:pt>
                <c:pt idx="21">
                  <c:v>0.40000000000000008</c:v>
                </c:pt>
                <c:pt idx="22">
                  <c:v>0.4200000000000001</c:v>
                </c:pt>
                <c:pt idx="23">
                  <c:v>0.44000000000000011</c:v>
                </c:pt>
                <c:pt idx="24">
                  <c:v>0.46000000000000013</c:v>
                </c:pt>
                <c:pt idx="25">
                  <c:v>0.48000000000000015</c:v>
                </c:pt>
                <c:pt idx="26">
                  <c:v>0.50000000000000011</c:v>
                </c:pt>
                <c:pt idx="27">
                  <c:v>0.52000000000000013</c:v>
                </c:pt>
                <c:pt idx="28">
                  <c:v>0.54000000000000015</c:v>
                </c:pt>
                <c:pt idx="29">
                  <c:v>0.56000000000000016</c:v>
                </c:pt>
                <c:pt idx="30">
                  <c:v>0.58000000000000018</c:v>
                </c:pt>
                <c:pt idx="31">
                  <c:v>0.6000000000000002</c:v>
                </c:pt>
                <c:pt idx="32">
                  <c:v>0.62000000000000022</c:v>
                </c:pt>
                <c:pt idx="33">
                  <c:v>0.64000000000000024</c:v>
                </c:pt>
                <c:pt idx="34">
                  <c:v>0.66000000000000025</c:v>
                </c:pt>
                <c:pt idx="35">
                  <c:v>0.68000000000000027</c:v>
                </c:pt>
                <c:pt idx="36">
                  <c:v>0.70000000000000029</c:v>
                </c:pt>
                <c:pt idx="37">
                  <c:v>0.72000000000000031</c:v>
                </c:pt>
                <c:pt idx="38">
                  <c:v>0.74000000000000032</c:v>
                </c:pt>
                <c:pt idx="39">
                  <c:v>0.76000000000000034</c:v>
                </c:pt>
                <c:pt idx="40">
                  <c:v>0.78000000000000036</c:v>
                </c:pt>
                <c:pt idx="41">
                  <c:v>0.80000000000000038</c:v>
                </c:pt>
                <c:pt idx="42">
                  <c:v>0.8200000000000004</c:v>
                </c:pt>
                <c:pt idx="43">
                  <c:v>0.84000000000000041</c:v>
                </c:pt>
                <c:pt idx="44">
                  <c:v>0.86000000000000043</c:v>
                </c:pt>
                <c:pt idx="45">
                  <c:v>0.88000000000000045</c:v>
                </c:pt>
                <c:pt idx="46">
                  <c:v>0.90000000000000047</c:v>
                </c:pt>
                <c:pt idx="47">
                  <c:v>0.92000000000000048</c:v>
                </c:pt>
                <c:pt idx="48">
                  <c:v>0.9400000000000005</c:v>
                </c:pt>
                <c:pt idx="49">
                  <c:v>0.96000000000000052</c:v>
                </c:pt>
                <c:pt idx="50">
                  <c:v>0.98000000000000054</c:v>
                </c:pt>
                <c:pt idx="51">
                  <c:v>1.0000000000000004</c:v>
                </c:pt>
              </c:numCache>
            </c:numRef>
          </c:xVal>
          <c:yVal>
            <c:numRef>
              <c:f>Betz!$F$7:$F$58</c:f>
              <c:numCache>
                <c:formatCode>0.0E+00</c:formatCode>
                <c:ptCount val="52"/>
                <c:pt idx="0">
                  <c:v>-1000000</c:v>
                </c:pt>
                <c:pt idx="1">
                  <c:v>-1000000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0.59259259259259256</c:v>
                </c:pt>
                <c:pt idx="18">
                  <c:v>1000000</c:v>
                </c:pt>
                <c:pt idx="19">
                  <c:v>1000000</c:v>
                </c:pt>
                <c:pt idx="20">
                  <c:v>1000000</c:v>
                </c:pt>
                <c:pt idx="21">
                  <c:v>1000000</c:v>
                </c:pt>
                <c:pt idx="22">
                  <c:v>1000000</c:v>
                </c:pt>
                <c:pt idx="23">
                  <c:v>1000000</c:v>
                </c:pt>
                <c:pt idx="24">
                  <c:v>1000000</c:v>
                </c:pt>
                <c:pt idx="25">
                  <c:v>1000000</c:v>
                </c:pt>
                <c:pt idx="26">
                  <c:v>1000000</c:v>
                </c:pt>
                <c:pt idx="27">
                  <c:v>1000000</c:v>
                </c:pt>
                <c:pt idx="28">
                  <c:v>1000000</c:v>
                </c:pt>
                <c:pt idx="29">
                  <c:v>1000000</c:v>
                </c:pt>
                <c:pt idx="30">
                  <c:v>1000000</c:v>
                </c:pt>
                <c:pt idx="31">
                  <c:v>1000000</c:v>
                </c:pt>
                <c:pt idx="32">
                  <c:v>1000000</c:v>
                </c:pt>
                <c:pt idx="33">
                  <c:v>1000000</c:v>
                </c:pt>
                <c:pt idx="34">
                  <c:v>1000000</c:v>
                </c:pt>
                <c:pt idx="35">
                  <c:v>1000000</c:v>
                </c:pt>
                <c:pt idx="36">
                  <c:v>1000000</c:v>
                </c:pt>
                <c:pt idx="37">
                  <c:v>1000000</c:v>
                </c:pt>
                <c:pt idx="38">
                  <c:v>1000000</c:v>
                </c:pt>
                <c:pt idx="39">
                  <c:v>1000000</c:v>
                </c:pt>
                <c:pt idx="40">
                  <c:v>1000000</c:v>
                </c:pt>
                <c:pt idx="41">
                  <c:v>1000000</c:v>
                </c:pt>
                <c:pt idx="42">
                  <c:v>1000000</c:v>
                </c:pt>
                <c:pt idx="43">
                  <c:v>1000000</c:v>
                </c:pt>
                <c:pt idx="44">
                  <c:v>1000000</c:v>
                </c:pt>
                <c:pt idx="45">
                  <c:v>1000000</c:v>
                </c:pt>
                <c:pt idx="46">
                  <c:v>1000000</c:v>
                </c:pt>
                <c:pt idx="47">
                  <c:v>1000000</c:v>
                </c:pt>
                <c:pt idx="48">
                  <c:v>1000000</c:v>
                </c:pt>
                <c:pt idx="49">
                  <c:v>1000000</c:v>
                </c:pt>
                <c:pt idx="50">
                  <c:v>1000000</c:v>
                </c:pt>
                <c:pt idx="51">
                  <c:v>1000000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64-4734-B07B-2CBFF6C74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82880"/>
        <c:axId val="129084800"/>
      </c:scatterChart>
      <c:valAx>
        <c:axId val="129082880"/>
        <c:scaling>
          <c:orientation val="minMax"/>
          <c:max val="1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/>
                  <a:t>Ralentización del fluido </a:t>
                </a:r>
                <a:r>
                  <a:rPr lang="es-ES" sz="1100" i="1">
                    <a:latin typeface="Times New Roman" pitchFamily="18" charset="0"/>
                    <a:cs typeface="Times New Roman" pitchFamily="18" charset="0"/>
                  </a:rPr>
                  <a:t>r </a:t>
                </a:r>
                <a:r>
                  <a:rPr lang="es-ES" sz="1100" b="0" i="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s-ES" sz="1100" b="1" i="0">
                    <a:latin typeface="Times New Roman" pitchFamily="18" charset="0"/>
                    <a:cs typeface="Times New Roman" pitchFamily="18" charset="0"/>
                  </a:rPr>
                  <a:t>0/1</a:t>
                </a:r>
                <a:r>
                  <a:rPr lang="es-ES" sz="1100" b="0" i="0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29084800"/>
        <c:crosses val="autoZero"/>
        <c:crossBetween val="midCat"/>
        <c:majorUnit val="0.1"/>
        <c:minorUnit val="1.0000000000000005E-2"/>
      </c:valAx>
      <c:valAx>
        <c:axId val="12908480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/>
                  <a:t>Potencia  cinética  transferible </a:t>
                </a:r>
                <a:r>
                  <a:rPr lang="el-GR" sz="1100">
                    <a:latin typeface="GreekC" pitchFamily="2" charset="0"/>
                    <a:cs typeface="GreekC" pitchFamily="2" charset="0"/>
                  </a:rPr>
                  <a:t>β</a:t>
                </a:r>
                <a:r>
                  <a:rPr lang="es-ES" sz="1100"/>
                  <a:t> </a:t>
                </a:r>
                <a:r>
                  <a:rPr lang="es-ES" sz="1100" b="1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s-ES" sz="1100" b="1" i="0">
                    <a:latin typeface="Times New Roman" pitchFamily="18" charset="0"/>
                    <a:cs typeface="Times New Roman" pitchFamily="18" charset="0"/>
                  </a:rPr>
                  <a:t>0/1</a:t>
                </a:r>
                <a:r>
                  <a:rPr lang="es-ES" sz="1100" b="1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7.0921972613694354E-3"/>
              <c:y val="0.19731038812527132"/>
            </c:manualLayout>
          </c:layout>
          <c:overlay val="0"/>
        </c:title>
        <c:numFmt formatCode="#,##0.000" sourceLinked="1"/>
        <c:majorTickMark val="out"/>
        <c:minorTickMark val="none"/>
        <c:tickLblPos val="nextTo"/>
        <c:crossAx val="129082880"/>
        <c:crosses val="autoZero"/>
        <c:crossBetween val="midCat"/>
        <c:majorUnit val="0.1"/>
        <c:minorUnit val="1.0000000000000005E-2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22376403570968"/>
          <c:y val="0.11294380648308604"/>
          <c:w val="0.22306530718512788"/>
          <c:h val="0.1808291338582683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Curva de carga comercial típica</a:t>
            </a:r>
          </a:p>
        </c:rich>
      </c:tx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86771125971064"/>
          <c:y val="0.12464811463784418"/>
          <c:w val="0.81860800063311734"/>
          <c:h val="0.7170017423035796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'Curvas de carga'!$F$4:$F$28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</c:numCache>
            </c:numRef>
          </c:xVal>
          <c:yVal>
            <c:numRef>
              <c:f>'Curvas de carga'!$G$4:$G$28</c:f>
            </c:numRef>
          </c:yVal>
          <c:smooth val="1"/>
          <c:extLst>
            <c:ext xmlns:c16="http://schemas.microsoft.com/office/drawing/2014/chart" uri="{C3380CC4-5D6E-409C-BE32-E72D297353CC}">
              <c16:uniqueId val="{00000008-BEE6-4F8D-9051-6DB0A1F8F148}"/>
            </c:ext>
          </c:extLst>
        </c:ser>
        <c:ser>
          <c:idx val="0"/>
          <c:order val="1"/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'Curvas de carga'!$F$4:$F$28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</c:numCache>
            </c:numRef>
          </c:xVal>
          <c:yVal>
            <c:numRef>
              <c:f>'Curvas de carga'!$H$4:$H$28</c:f>
              <c:numCache>
                <c:formatCode>#,##0</c:formatCode>
                <c:ptCount val="2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15</c:v>
                </c:pt>
                <c:pt idx="7">
                  <c:v>75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80</c:v>
                </c:pt>
                <c:pt idx="13">
                  <c:v>80</c:v>
                </c:pt>
                <c:pt idx="14">
                  <c:v>95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80</c:v>
                </c:pt>
                <c:pt idx="21">
                  <c:v>15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EE6-4F8D-9051-6DB0A1F8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5024"/>
        <c:axId val="122706944"/>
      </c:scatterChart>
      <c:valAx>
        <c:axId val="12270502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Tiempo diario  [h]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6944"/>
        <c:crosses val="autoZero"/>
        <c:crossBetween val="midCat"/>
        <c:majorUnit val="1"/>
      </c:valAx>
      <c:valAx>
        <c:axId val="1227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Demanda horaria 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L"/>
          </a:p>
        </c:txPr>
        <c:crossAx val="1227050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CL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/>
              <a:t>Curva de carga industrial típica  (3 turnos diarios) </a:t>
            </a:r>
          </a:p>
        </c:rich>
      </c:tx>
      <c:layout>
        <c:manualLayout>
          <c:xMode val="edge"/>
          <c:yMode val="edge"/>
          <c:x val="0.1806616063990788"/>
          <c:y val="2.9878626900645331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6754375552302"/>
          <c:y val="0.13958729852512511"/>
          <c:w val="0.81860800063311734"/>
          <c:h val="0.717001742303579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'Curvas de carga'!$B$36:$B$59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'Curvas de carga'!$C$36:$C$59</c:f>
            </c:numRef>
          </c:yVal>
          <c:smooth val="1"/>
          <c:extLst>
            <c:ext xmlns:c16="http://schemas.microsoft.com/office/drawing/2014/chart" uri="{C3380CC4-5D6E-409C-BE32-E72D297353CC}">
              <c16:uniqueId val="{00000003-C343-4CAD-B7DE-13E587DB6D9E}"/>
            </c:ext>
          </c:extLst>
        </c:ser>
        <c:ser>
          <c:idx val="1"/>
          <c:order val="1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'Curvas de carga'!$B$36:$B$59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'Curvas de carga'!$D$36:$D$59</c:f>
              <c:numCache>
                <c:formatCode>#,##0</c:formatCode>
                <c:ptCount val="24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13500</c:v>
                </c:pt>
                <c:pt idx="6">
                  <c:v>12000</c:v>
                </c:pt>
                <c:pt idx="7">
                  <c:v>12000</c:v>
                </c:pt>
                <c:pt idx="8">
                  <c:v>13500</c:v>
                </c:pt>
                <c:pt idx="9">
                  <c:v>13500</c:v>
                </c:pt>
                <c:pt idx="10">
                  <c:v>13500</c:v>
                </c:pt>
                <c:pt idx="11">
                  <c:v>13500</c:v>
                </c:pt>
                <c:pt idx="12">
                  <c:v>13500</c:v>
                </c:pt>
                <c:pt idx="13">
                  <c:v>13500</c:v>
                </c:pt>
                <c:pt idx="14">
                  <c:v>12000</c:v>
                </c:pt>
                <c:pt idx="15">
                  <c:v>13500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  <c:pt idx="19">
                  <c:v>15000</c:v>
                </c:pt>
                <c:pt idx="20">
                  <c:v>15000</c:v>
                </c:pt>
                <c:pt idx="21">
                  <c:v>15000</c:v>
                </c:pt>
                <c:pt idx="22">
                  <c:v>13500</c:v>
                </c:pt>
                <c:pt idx="23">
                  <c:v>12000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43-4CAD-B7DE-13E587DB6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05024"/>
        <c:axId val="122706944"/>
      </c:scatterChart>
      <c:valAx>
        <c:axId val="12270502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Tiempo diario  [h]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6944"/>
        <c:crosses val="autoZero"/>
        <c:crossBetween val="midCat"/>
        <c:majorUnit val="1"/>
      </c:valAx>
      <c:valAx>
        <c:axId val="1227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aseline="0"/>
                  <a:t>Demanda horaria 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L"/>
          </a:p>
        </c:txPr>
        <c:crossAx val="1227050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CL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Tensión en vacío celda fotoeléctrica de potasio</a:t>
            </a:r>
          </a:p>
        </c:rich>
      </c:tx>
      <c:layout>
        <c:manualLayout>
          <c:xMode val="edge"/>
          <c:yMode val="edge"/>
          <c:x val="0.20226817260529256"/>
          <c:y val="3.414772382243992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167649455397086"/>
          <c:y val="0.13023527586044031"/>
          <c:w val="0.81008003304903975"/>
          <c:h val="0.705253797002881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'Función Trabajo'!$Q$11:$Q$24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553.96323475046211</c:v>
                </c:pt>
                <c:pt idx="7">
                  <c:v>587.0599608227227</c:v>
                </c:pt>
                <c:pt idx="8">
                  <c:v>600</c:v>
                </c:pt>
                <c:pt idx="9">
                  <c:v>624.36272916666678</c:v>
                </c:pt>
                <c:pt idx="10">
                  <c:v>687.68726480036707</c:v>
                </c:pt>
                <c:pt idx="11">
                  <c:v>700</c:v>
                </c:pt>
                <c:pt idx="12">
                  <c:v>756.42127713276125</c:v>
                </c:pt>
                <c:pt idx="13" formatCode="0">
                  <c:v>800</c:v>
                </c:pt>
              </c:numCache>
            </c:numRef>
          </c:xVal>
          <c:yVal>
            <c:numRef>
              <c:f>'Función Trabajo'!$R$11:$R$24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9.6448826703632307E-4</c:v>
                </c:pt>
                <c:pt idx="7">
                  <c:v>0.13783895818308789</c:v>
                </c:pt>
                <c:pt idx="8">
                  <c:v>0.19135364719540204</c:v>
                </c:pt>
                <c:pt idx="9">
                  <c:v>0.29210789198430609</c:v>
                </c:pt>
                <c:pt idx="10">
                  <c:v>0.55399217107036858</c:v>
                </c:pt>
                <c:pt idx="11">
                  <c:v>0.6049125883946358</c:v>
                </c:pt>
                <c:pt idx="12">
                  <c:v>0.83824782471596837</c:v>
                </c:pt>
                <c:pt idx="13">
                  <c:v>1.0184715295938696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13-49BA-B06C-C0A7DABA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94112"/>
        <c:axId val="122396032"/>
      </c:scatterChart>
      <c:valAx>
        <c:axId val="122394112"/>
        <c:scaling>
          <c:orientation val="minMax"/>
          <c:max val="8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 b="1" i="0" baseline="0"/>
                  <a:t>Frecuencia luz monocromática  </a:t>
                </a:r>
                <a:r>
                  <a:rPr lang="es-ES" sz="1100" b="1" i="1" baseline="0"/>
                  <a:t>f  </a:t>
                </a:r>
                <a:r>
                  <a:rPr lang="es-ES" sz="1100" b="1" i="0" baseline="0"/>
                  <a:t>[</a:t>
                </a:r>
                <a:r>
                  <a:rPr lang="es-ES" sz="1100" b="1" i="1" baseline="0"/>
                  <a:t>THz</a:t>
                </a:r>
                <a:r>
                  <a:rPr lang="es-ES" sz="1100" b="1" i="0" baseline="0"/>
                  <a:t>]</a:t>
                </a:r>
              </a:p>
            </c:rich>
          </c:tx>
          <c:layout>
            <c:manualLayout>
              <c:xMode val="edge"/>
              <c:yMode val="edge"/>
              <c:x val="0.2805895365464513"/>
              <c:y val="0.9188939942918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2396032"/>
        <c:crosses val="autoZero"/>
        <c:crossBetween val="midCat"/>
        <c:majorUnit val="100"/>
      </c:valAx>
      <c:valAx>
        <c:axId val="12239603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1" i="0" baseline="0"/>
                  <a:t>Tensión U0 </a:t>
                </a:r>
                <a:r>
                  <a:rPr lang="en-US" sz="1100" b="1" i="1" baseline="0"/>
                  <a:t> </a:t>
                </a:r>
                <a:r>
                  <a:rPr lang="en-US" sz="1100" b="1" i="0" baseline="0"/>
                  <a:t>[</a:t>
                </a:r>
                <a:r>
                  <a:rPr lang="en-US" sz="1100" b="1" i="1" baseline="0"/>
                  <a:t>V</a:t>
                </a:r>
                <a:r>
                  <a:rPr lang="en-US" sz="1100" b="1" i="0" baseline="0"/>
                  <a:t>]</a:t>
                </a:r>
              </a:p>
            </c:rich>
          </c:tx>
          <c:layout>
            <c:manualLayout>
              <c:xMode val="edge"/>
              <c:yMode val="edge"/>
              <c:x val="2.1699823287878246E-2"/>
              <c:y val="0.3585393599578973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2394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PROBABILIDAD  CAUDAL   MENSUAL   RÍO   LAUCA  (Cifras en </a:t>
            </a:r>
            <a:r>
              <a:rPr lang="en-US" i="1">
                <a:latin typeface="Times New Roman" pitchFamily="18" charset="0"/>
                <a:cs typeface="Times New Roman" pitchFamily="18" charset="0"/>
              </a:rPr>
              <a:t>l/s</a:t>
            </a:r>
            <a:r>
              <a:rPr lang="en-US"/>
              <a:t>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453701402742482E-2"/>
          <c:y val="3.5169286634869582E-2"/>
          <c:w val="0.90424004032860061"/>
          <c:h val="0.91659936971545297"/>
        </c:manualLayout>
      </c:layout>
      <c:scatterChart>
        <c:scatterStyle val="smoothMarker"/>
        <c:varyColors val="0"/>
        <c:ser>
          <c:idx val="0"/>
          <c:order val="0"/>
          <c:tx>
            <c:v>p = 10 %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Lauca'!$S$33:$S$43</c:f>
              <c:numCache>
                <c:formatCode>#,##0</c:formatCode>
                <c:ptCount val="11"/>
                <c:pt idx="0">
                  <c:v>814</c:v>
                </c:pt>
                <c:pt idx="1">
                  <c:v>907</c:v>
                </c:pt>
                <c:pt idx="2">
                  <c:v>898</c:v>
                </c:pt>
                <c:pt idx="3">
                  <c:v>709</c:v>
                </c:pt>
                <c:pt idx="4">
                  <c:v>699</c:v>
                </c:pt>
                <c:pt idx="5">
                  <c:v>1345</c:v>
                </c:pt>
                <c:pt idx="6">
                  <c:v>1648</c:v>
                </c:pt>
                <c:pt idx="7">
                  <c:v>1244</c:v>
                </c:pt>
                <c:pt idx="8">
                  <c:v>793</c:v>
                </c:pt>
                <c:pt idx="9">
                  <c:v>697</c:v>
                </c:pt>
                <c:pt idx="10">
                  <c:v>1351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3F-4034-93FC-484131DDE778}"/>
            </c:ext>
          </c:extLst>
        </c:ser>
        <c:ser>
          <c:idx val="1"/>
          <c:order val="1"/>
          <c:tx>
            <c:v>p = 20 %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Lauca'!$T$33:$T$43</c:f>
              <c:numCache>
                <c:formatCode>#,##0</c:formatCode>
                <c:ptCount val="11"/>
                <c:pt idx="0">
                  <c:v>719</c:v>
                </c:pt>
                <c:pt idx="1">
                  <c:v>802</c:v>
                </c:pt>
                <c:pt idx="2">
                  <c:v>764</c:v>
                </c:pt>
                <c:pt idx="3">
                  <c:v>633</c:v>
                </c:pt>
                <c:pt idx="4">
                  <c:v>647</c:v>
                </c:pt>
                <c:pt idx="5">
                  <c:v>1138</c:v>
                </c:pt>
                <c:pt idx="6">
                  <c:v>1516</c:v>
                </c:pt>
                <c:pt idx="7">
                  <c:v>1094</c:v>
                </c:pt>
                <c:pt idx="8">
                  <c:v>709</c:v>
                </c:pt>
                <c:pt idx="9">
                  <c:v>635</c:v>
                </c:pt>
                <c:pt idx="10">
                  <c:v>1351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3F-4034-93FC-484131DDE778}"/>
            </c:ext>
          </c:extLst>
        </c:ser>
        <c:ser>
          <c:idx val="2"/>
          <c:order val="2"/>
          <c:tx>
            <c:v>p = 30 %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Lauca'!$U$33:$U$43</c:f>
              <c:numCache>
                <c:formatCode>#,##0</c:formatCode>
                <c:ptCount val="11"/>
                <c:pt idx="0">
                  <c:v>593</c:v>
                </c:pt>
                <c:pt idx="1">
                  <c:v>757</c:v>
                </c:pt>
                <c:pt idx="2">
                  <c:v>707</c:v>
                </c:pt>
                <c:pt idx="3">
                  <c:v>601</c:v>
                </c:pt>
                <c:pt idx="4">
                  <c:v>625</c:v>
                </c:pt>
                <c:pt idx="5">
                  <c:v>1050</c:v>
                </c:pt>
                <c:pt idx="6">
                  <c:v>1339</c:v>
                </c:pt>
                <c:pt idx="7">
                  <c:v>1030</c:v>
                </c:pt>
                <c:pt idx="8">
                  <c:v>595</c:v>
                </c:pt>
                <c:pt idx="9">
                  <c:v>545</c:v>
                </c:pt>
                <c:pt idx="10">
                  <c:v>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3F-4034-93FC-484131DDE778}"/>
            </c:ext>
          </c:extLst>
        </c:ser>
        <c:ser>
          <c:idx val="3"/>
          <c:order val="3"/>
          <c:tx>
            <c:v>p = 40 %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Lauca'!$V$33:$V$43</c:f>
              <c:numCache>
                <c:formatCode>#,##0</c:formatCode>
                <c:ptCount val="11"/>
                <c:pt idx="0">
                  <c:v>537</c:v>
                </c:pt>
                <c:pt idx="1">
                  <c:v>662</c:v>
                </c:pt>
                <c:pt idx="2">
                  <c:v>600</c:v>
                </c:pt>
                <c:pt idx="3">
                  <c:v>532</c:v>
                </c:pt>
                <c:pt idx="4">
                  <c:v>572</c:v>
                </c:pt>
                <c:pt idx="5">
                  <c:v>900</c:v>
                </c:pt>
                <c:pt idx="6">
                  <c:v>1259</c:v>
                </c:pt>
                <c:pt idx="7">
                  <c:v>904</c:v>
                </c:pt>
                <c:pt idx="8">
                  <c:v>595</c:v>
                </c:pt>
                <c:pt idx="9">
                  <c:v>503</c:v>
                </c:pt>
                <c:pt idx="10">
                  <c:v>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3F-4034-93FC-484131DDE778}"/>
            </c:ext>
          </c:extLst>
        </c:ser>
        <c:ser>
          <c:idx val="4"/>
          <c:order val="4"/>
          <c:tx>
            <c:v>p = 50 %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Lauca'!$W$33:$W$43</c:f>
              <c:numCache>
                <c:formatCode>#,##0</c:formatCode>
                <c:ptCount val="11"/>
                <c:pt idx="0">
                  <c:v>324</c:v>
                </c:pt>
                <c:pt idx="1">
                  <c:v>662</c:v>
                </c:pt>
                <c:pt idx="2">
                  <c:v>304</c:v>
                </c:pt>
                <c:pt idx="3">
                  <c:v>486</c:v>
                </c:pt>
                <c:pt idx="4">
                  <c:v>536</c:v>
                </c:pt>
                <c:pt idx="5">
                  <c:v>800</c:v>
                </c:pt>
                <c:pt idx="6">
                  <c:v>951</c:v>
                </c:pt>
                <c:pt idx="7">
                  <c:v>820</c:v>
                </c:pt>
                <c:pt idx="8">
                  <c:v>543</c:v>
                </c:pt>
                <c:pt idx="9">
                  <c:v>300</c:v>
                </c:pt>
                <c:pt idx="10">
                  <c:v>476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3F-4034-93FC-484131DDE778}"/>
            </c:ext>
          </c:extLst>
        </c:ser>
        <c:ser>
          <c:idx val="5"/>
          <c:order val="5"/>
          <c:tx>
            <c:v>p = 60 %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Lauca'!$X$33:$X$43</c:f>
              <c:numCache>
                <c:formatCode>#,##0</c:formatCode>
                <c:ptCount val="11"/>
                <c:pt idx="0">
                  <c:v>248</c:v>
                </c:pt>
                <c:pt idx="1">
                  <c:v>598</c:v>
                </c:pt>
                <c:pt idx="2">
                  <c:v>304</c:v>
                </c:pt>
                <c:pt idx="3">
                  <c:v>307</c:v>
                </c:pt>
                <c:pt idx="4">
                  <c:v>281</c:v>
                </c:pt>
                <c:pt idx="5">
                  <c:v>562</c:v>
                </c:pt>
                <c:pt idx="6">
                  <c:v>839</c:v>
                </c:pt>
                <c:pt idx="7">
                  <c:v>530</c:v>
                </c:pt>
                <c:pt idx="8">
                  <c:v>336</c:v>
                </c:pt>
                <c:pt idx="9">
                  <c:v>200</c:v>
                </c:pt>
                <c:pt idx="10">
                  <c:v>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3F-4034-93FC-484131DDE778}"/>
            </c:ext>
          </c:extLst>
        </c:ser>
        <c:ser>
          <c:idx val="6"/>
          <c:order val="6"/>
          <c:tx>
            <c:v>p = 70 %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Lauca'!$Y$33:$Y$43</c:f>
              <c:numCache>
                <c:formatCode>#,##0</c:formatCode>
                <c:ptCount val="11"/>
                <c:pt idx="0">
                  <c:v>135</c:v>
                </c:pt>
                <c:pt idx="1">
                  <c:v>358</c:v>
                </c:pt>
                <c:pt idx="2">
                  <c:v>244</c:v>
                </c:pt>
                <c:pt idx="3">
                  <c:v>246</c:v>
                </c:pt>
                <c:pt idx="4">
                  <c:v>155</c:v>
                </c:pt>
                <c:pt idx="5">
                  <c:v>525</c:v>
                </c:pt>
                <c:pt idx="6">
                  <c:v>672</c:v>
                </c:pt>
                <c:pt idx="7">
                  <c:v>442</c:v>
                </c:pt>
                <c:pt idx="8">
                  <c:v>258</c:v>
                </c:pt>
                <c:pt idx="9">
                  <c:v>200</c:v>
                </c:pt>
                <c:pt idx="10">
                  <c:v>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3F-4034-93FC-484131DDE778}"/>
            </c:ext>
          </c:extLst>
        </c:ser>
        <c:ser>
          <c:idx val="7"/>
          <c:order val="7"/>
          <c:tx>
            <c:v>p = 80 %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Lauca'!$Z$33:$Z$43</c:f>
              <c:numCache>
                <c:formatCode>#,##0</c:formatCode>
                <c:ptCount val="11"/>
                <c:pt idx="0">
                  <c:v>135</c:v>
                </c:pt>
                <c:pt idx="1">
                  <c:v>281</c:v>
                </c:pt>
                <c:pt idx="2">
                  <c:v>154</c:v>
                </c:pt>
                <c:pt idx="3">
                  <c:v>246</c:v>
                </c:pt>
                <c:pt idx="4">
                  <c:v>155</c:v>
                </c:pt>
                <c:pt idx="5">
                  <c:v>466</c:v>
                </c:pt>
                <c:pt idx="6">
                  <c:v>672</c:v>
                </c:pt>
                <c:pt idx="7">
                  <c:v>310</c:v>
                </c:pt>
                <c:pt idx="8">
                  <c:v>141</c:v>
                </c:pt>
                <c:pt idx="9">
                  <c:v>50</c:v>
                </c:pt>
                <c:pt idx="10">
                  <c:v>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3F-4034-93FC-484131DDE778}"/>
            </c:ext>
          </c:extLst>
        </c:ser>
        <c:ser>
          <c:idx val="8"/>
          <c:order val="8"/>
          <c:tx>
            <c:v>p = 90 %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Lauca'!$AA$33:$AA$43</c:f>
              <c:numCache>
                <c:formatCode>#,##0</c:formatCode>
                <c:ptCount val="11"/>
                <c:pt idx="0">
                  <c:v>92</c:v>
                </c:pt>
                <c:pt idx="1">
                  <c:v>165</c:v>
                </c:pt>
                <c:pt idx="2">
                  <c:v>128</c:v>
                </c:pt>
                <c:pt idx="3">
                  <c:v>155</c:v>
                </c:pt>
                <c:pt idx="4">
                  <c:v>93</c:v>
                </c:pt>
                <c:pt idx="5">
                  <c:v>356</c:v>
                </c:pt>
                <c:pt idx="6">
                  <c:v>610</c:v>
                </c:pt>
                <c:pt idx="7">
                  <c:v>310</c:v>
                </c:pt>
                <c:pt idx="8">
                  <c:v>96</c:v>
                </c:pt>
                <c:pt idx="9">
                  <c:v>30</c:v>
                </c:pt>
                <c:pt idx="10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3F-4034-93FC-484131DDE778}"/>
            </c:ext>
          </c:extLst>
        </c:ser>
        <c:ser>
          <c:idx val="9"/>
          <c:order val="9"/>
          <c:tx>
            <c:v>p = 100 %</c:v>
          </c:tx>
          <c:marker>
            <c:symbol val="none"/>
          </c:marker>
          <c:xVal>
            <c:strRef>
              <c:f>'Caudal Río Lauca'!$R$33:$R$43</c:f>
              <c:strCache>
                <c:ptCount val="11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Oct</c:v>
                </c:pt>
                <c:pt idx="6">
                  <c:v>Nov</c:v>
                </c:pt>
                <c:pt idx="7">
                  <c:v>Dic</c:v>
                </c:pt>
                <c:pt idx="8">
                  <c:v>Ene</c:v>
                </c:pt>
                <c:pt idx="9">
                  <c:v>Feb</c:v>
                </c:pt>
                <c:pt idx="10">
                  <c:v>Mar</c:v>
                </c:pt>
              </c:strCache>
            </c:strRef>
          </c:xVal>
          <c:yVal>
            <c:numRef>
              <c:f>'Caudal Río Lauca'!$AB$33:$AB$43</c:f>
              <c:numCache>
                <c:formatCode>#,##0</c:formatCode>
                <c:ptCount val="11"/>
                <c:pt idx="0">
                  <c:v>49</c:v>
                </c:pt>
                <c:pt idx="1">
                  <c:v>95</c:v>
                </c:pt>
                <c:pt idx="2">
                  <c:v>103</c:v>
                </c:pt>
                <c:pt idx="3">
                  <c:v>126</c:v>
                </c:pt>
                <c:pt idx="4">
                  <c:v>31</c:v>
                </c:pt>
                <c:pt idx="5">
                  <c:v>336</c:v>
                </c:pt>
                <c:pt idx="6">
                  <c:v>549</c:v>
                </c:pt>
                <c:pt idx="7">
                  <c:v>268</c:v>
                </c:pt>
                <c:pt idx="8">
                  <c:v>51</c:v>
                </c:pt>
                <c:pt idx="9">
                  <c:v>10</c:v>
                </c:pt>
                <c:pt idx="10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73F-4034-93FC-484131DD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08384"/>
        <c:axId val="123410304"/>
      </c:scatterChart>
      <c:valAx>
        <c:axId val="123408384"/>
        <c:scaling>
          <c:orientation val="minMax"/>
          <c:max val="12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600">
                    <a:latin typeface="Times New Roman" pitchFamily="18" charset="0"/>
                    <a:cs typeface="Times New Roman" pitchFamily="18" charset="0"/>
                  </a:rPr>
                  <a:t>Meses del año </a:t>
                </a:r>
                <a:r>
                  <a:rPr lang="es-ES"/>
                  <a:t> 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410304"/>
        <c:crosses val="autoZero"/>
        <c:crossBetween val="midCat"/>
        <c:majorUnit val="1"/>
      </c:valAx>
      <c:valAx>
        <c:axId val="12341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/>
                </a:pPr>
                <a:r>
                  <a:rPr lang="en-US" sz="1800" i="0" baseline="0">
                    <a:latin typeface="Times New Roman" pitchFamily="18" charset="0"/>
                    <a:cs typeface="Times New Roman" pitchFamily="18" charset="0"/>
                  </a:rPr>
                  <a:t>Caudal  </a:t>
                </a:r>
                <a:r>
                  <a:rPr lang="en-US" sz="1800" i="1" baseline="0">
                    <a:latin typeface="Times New Roman" pitchFamily="18" charset="0"/>
                    <a:cs typeface="Times New Roman" pitchFamily="18" charset="0"/>
                  </a:rPr>
                  <a:t> l/s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408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838588593918992"/>
          <c:y val="5.8443905584466299E-2"/>
          <c:w val="8.3408523438627896E-2"/>
          <c:h val="0.417137563686892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VELOCIDAD DEL VIENTO EN </a:t>
            </a:r>
            <a:r>
              <a:rPr lang="en-US" sz="1000"/>
              <a:t>FUNCIÓN</a:t>
            </a:r>
            <a:r>
              <a:rPr lang="en-US" sz="1100"/>
              <a:t> DE LA ALTURA DE LA TORRE</a:t>
            </a:r>
          </a:p>
        </c:rich>
      </c:tx>
      <c:layout>
        <c:manualLayout>
          <c:xMode val="edge"/>
          <c:yMode val="edge"/>
          <c:x val="0.12546779359002452"/>
          <c:y val="5.86558583662286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27725204074262"/>
          <c:y val="5.1400554097404488E-2"/>
          <c:w val="0.8546463435189956"/>
          <c:h val="0.72877697579469269"/>
        </c:manualLayout>
      </c:layout>
      <c:scatterChart>
        <c:scatterStyle val="smoothMarker"/>
        <c:varyColors val="0"/>
        <c:ser>
          <c:idx val="0"/>
          <c:order val="0"/>
          <c:tx>
            <c:v>vH  = 30 m/s</c:v>
          </c:tx>
          <c:marker>
            <c:symbol val="none"/>
          </c:marker>
          <c:xVal>
            <c:numRef>
              <c:f>'Velocidad viento según altura'!$L$24:$L$33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'Velocidad viento según altura'!$M$24:$M$33</c:f>
              <c:numCache>
                <c:formatCode>#,##0</c:formatCode>
                <c:ptCount val="10"/>
                <c:pt idx="0">
                  <c:v>17.273938731480779</c:v>
                </c:pt>
                <c:pt idx="1">
                  <c:v>20.396575605784019</c:v>
                </c:pt>
                <c:pt idx="2">
                  <c:v>22.478720945077075</c:v>
                </c:pt>
                <c:pt idx="3">
                  <c:v>24.083696423230343</c:v>
                </c:pt>
                <c:pt idx="4">
                  <c:v>25.407115976736218</c:v>
                </c:pt>
                <c:pt idx="5">
                  <c:v>26.542234426362484</c:v>
                </c:pt>
                <c:pt idx="6">
                  <c:v>27.541438917432377</c:v>
                </c:pt>
                <c:pt idx="7">
                  <c:v>28.437343827550926</c:v>
                </c:pt>
                <c:pt idx="8">
                  <c:v>29.251747570794556</c:v>
                </c:pt>
                <c:pt idx="9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98-4F11-BA9B-DE1789821F4E}"/>
            </c:ext>
          </c:extLst>
        </c:ser>
        <c:ser>
          <c:idx val="1"/>
          <c:order val="1"/>
          <c:tx>
            <c:v>VH  = 55 m/s</c:v>
          </c:tx>
          <c:marker>
            <c:symbol val="none"/>
          </c:marker>
          <c:xVal>
            <c:numRef>
              <c:f>'Velocidad viento según altura'!$L$24:$L$33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'Velocidad viento según altura'!$N$24:$N$33</c:f>
              <c:numCache>
                <c:formatCode>#,##0</c:formatCode>
                <c:ptCount val="10"/>
                <c:pt idx="0">
                  <c:v>31.668887674381427</c:v>
                </c:pt>
                <c:pt idx="1">
                  <c:v>37.393721943937365</c:v>
                </c:pt>
                <c:pt idx="2">
                  <c:v>41.210988399307972</c:v>
                </c:pt>
                <c:pt idx="3">
                  <c:v>44.153443442588966</c:v>
                </c:pt>
                <c:pt idx="4">
                  <c:v>46.579712624016402</c:v>
                </c:pt>
                <c:pt idx="5">
                  <c:v>48.660763114997884</c:v>
                </c:pt>
                <c:pt idx="6">
                  <c:v>50.492638015292691</c:v>
                </c:pt>
                <c:pt idx="7">
                  <c:v>52.135130350510032</c:v>
                </c:pt>
                <c:pt idx="8">
                  <c:v>53.628203879790021</c:v>
                </c:pt>
                <c:pt idx="9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98-4F11-BA9B-DE178982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75456"/>
        <c:axId val="125485824"/>
      </c:scatterChart>
      <c:valAx>
        <c:axId val="125475456"/>
        <c:scaling>
          <c:orientation val="minMax"/>
          <c:max val="3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/>
                  <a:t>altura torre  H </a:t>
                </a:r>
                <a:r>
                  <a:rPr lang="es-ES" sz="110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s-ES" sz="1100" i="1">
                    <a:latin typeface="Times New Roman" pitchFamily="18" charset="0"/>
                    <a:cs typeface="Times New Roman" pitchFamily="18" charset="0"/>
                  </a:rPr>
                  <a:t>m</a:t>
                </a:r>
                <a:r>
                  <a:rPr lang="es-ES" sz="1100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485824"/>
        <c:crosses val="autoZero"/>
        <c:crossBetween val="midCat"/>
        <c:majorUnit val="5"/>
      </c:valAx>
      <c:valAx>
        <c:axId val="12548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Vlocidad viento  v(H)</a:t>
                </a:r>
                <a:r>
                  <a:rPr lang="en-US" sz="1100" b="1"/>
                  <a:t>  </a:t>
                </a:r>
                <a:r>
                  <a:rPr lang="en-US" sz="1100" b="1" i="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n-US" sz="1100" b="1" i="1">
                    <a:latin typeface="Times New Roman" pitchFamily="18" charset="0"/>
                    <a:cs typeface="Times New Roman" pitchFamily="18" charset="0"/>
                  </a:rPr>
                  <a:t>m/s</a:t>
                </a:r>
                <a:r>
                  <a:rPr lang="en-US" sz="1100" b="1" i="0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475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12109128560766"/>
          <c:y val="0.49035688247302767"/>
          <c:w val="0.27475238989621731"/>
          <c:h val="0.2528157170702188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VELOCIDAD DEL VIENTO EN </a:t>
            </a:r>
            <a:r>
              <a:rPr lang="en-US" sz="1000"/>
              <a:t>FUNCIÓN</a:t>
            </a:r>
            <a:r>
              <a:rPr lang="en-US" sz="1100"/>
              <a:t> DE LA ALTURA DE LA TORRE</a:t>
            </a:r>
          </a:p>
        </c:rich>
      </c:tx>
      <c:layout>
        <c:manualLayout>
          <c:xMode val="edge"/>
          <c:yMode val="edge"/>
          <c:x val="0.12546779359002463"/>
          <c:y val="5.86558583662286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27725204074262"/>
          <c:y val="5.1400554097404488E-2"/>
          <c:w val="0.85464634351899582"/>
          <c:h val="0.72877697579469269"/>
        </c:manualLayout>
      </c:layout>
      <c:scatterChart>
        <c:scatterStyle val="smoothMarker"/>
        <c:varyColors val="0"/>
        <c:ser>
          <c:idx val="0"/>
          <c:order val="0"/>
          <c:tx>
            <c:v>vH  =29 m/s</c:v>
          </c:tx>
          <c:marker>
            <c:symbol val="none"/>
          </c:marker>
          <c:xVal>
            <c:numRef>
              <c:f>'Velocidad viento según altura'!$L$24:$L$33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'Velocidad viento según altura'!$M$24:$M$33</c:f>
              <c:numCache>
                <c:formatCode>#,##0</c:formatCode>
                <c:ptCount val="10"/>
                <c:pt idx="0">
                  <c:v>17.273938731480779</c:v>
                </c:pt>
                <c:pt idx="1">
                  <c:v>20.396575605784019</c:v>
                </c:pt>
                <c:pt idx="2">
                  <c:v>22.478720945077075</c:v>
                </c:pt>
                <c:pt idx="3">
                  <c:v>24.083696423230343</c:v>
                </c:pt>
                <c:pt idx="4">
                  <c:v>25.407115976736218</c:v>
                </c:pt>
                <c:pt idx="5">
                  <c:v>26.542234426362484</c:v>
                </c:pt>
                <c:pt idx="6">
                  <c:v>27.541438917432377</c:v>
                </c:pt>
                <c:pt idx="7">
                  <c:v>28.437343827550926</c:v>
                </c:pt>
                <c:pt idx="8">
                  <c:v>29.251747570794556</c:v>
                </c:pt>
                <c:pt idx="9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89-4230-B6A5-F05E73A96BBC}"/>
            </c:ext>
          </c:extLst>
        </c:ser>
        <c:ser>
          <c:idx val="1"/>
          <c:order val="1"/>
          <c:tx>
            <c:v>VH  = 55 m/s</c:v>
          </c:tx>
          <c:marker>
            <c:symbol val="none"/>
          </c:marker>
          <c:xVal>
            <c:numRef>
              <c:f>'Velocidad viento según altura'!$L$24:$L$33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'Velocidad viento según altura'!$N$24:$N$33</c:f>
              <c:numCache>
                <c:formatCode>#,##0</c:formatCode>
                <c:ptCount val="10"/>
                <c:pt idx="0">
                  <c:v>31.668887674381427</c:v>
                </c:pt>
                <c:pt idx="1">
                  <c:v>37.393721943937365</c:v>
                </c:pt>
                <c:pt idx="2">
                  <c:v>41.210988399307972</c:v>
                </c:pt>
                <c:pt idx="3">
                  <c:v>44.153443442588966</c:v>
                </c:pt>
                <c:pt idx="4">
                  <c:v>46.579712624016402</c:v>
                </c:pt>
                <c:pt idx="5">
                  <c:v>48.660763114997884</c:v>
                </c:pt>
                <c:pt idx="6">
                  <c:v>50.492638015292691</c:v>
                </c:pt>
                <c:pt idx="7">
                  <c:v>52.135130350510032</c:v>
                </c:pt>
                <c:pt idx="8">
                  <c:v>53.628203879790021</c:v>
                </c:pt>
                <c:pt idx="9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89-4230-B6A5-F05E73A96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72576"/>
        <c:axId val="124878848"/>
      </c:scatterChart>
      <c:valAx>
        <c:axId val="124872576"/>
        <c:scaling>
          <c:orientation val="minMax"/>
          <c:max val="3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/>
                  <a:t>altura torre  H </a:t>
                </a:r>
                <a:r>
                  <a:rPr lang="es-ES" sz="110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s-ES" sz="1100" i="1">
                    <a:latin typeface="Times New Roman" pitchFamily="18" charset="0"/>
                    <a:cs typeface="Times New Roman" pitchFamily="18" charset="0"/>
                  </a:rPr>
                  <a:t>m</a:t>
                </a:r>
                <a:r>
                  <a:rPr lang="es-ES" sz="1100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878848"/>
        <c:crosses val="autoZero"/>
        <c:crossBetween val="midCat"/>
        <c:majorUnit val="5"/>
      </c:valAx>
      <c:valAx>
        <c:axId val="124878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Vlocidad viento  v(H)</a:t>
                </a:r>
                <a:r>
                  <a:rPr lang="en-US" sz="1100" b="1"/>
                  <a:t>  </a:t>
                </a:r>
                <a:r>
                  <a:rPr lang="en-US" sz="1100" b="1" i="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n-US" sz="1100" b="1" i="1">
                    <a:latin typeface="Times New Roman" pitchFamily="18" charset="0"/>
                    <a:cs typeface="Times New Roman" pitchFamily="18" charset="0"/>
                  </a:rPr>
                  <a:t>m/s</a:t>
                </a:r>
                <a:r>
                  <a:rPr lang="en-US" sz="1100" b="1" i="0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4872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12109128560766"/>
          <c:y val="0.49035688247302778"/>
          <c:w val="0.27475238989621731"/>
          <c:h val="0.2528157170702188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/>
              <a:t>VELOCIDAD DEL VIENTO EN FUNCIÓN DE LA ALTURA DE LA TORRE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0778261067959864E-2"/>
          <c:y val="0.11926477753155329"/>
          <c:w val="0.88314718427450511"/>
          <c:h val="0.72084303833279295"/>
        </c:manualLayout>
      </c:layout>
      <c:scatterChart>
        <c:scatterStyle val="smoothMarker"/>
        <c:varyColors val="0"/>
        <c:ser>
          <c:idx val="0"/>
          <c:order val="0"/>
          <c:tx>
            <c:v>Casa de Pesca 30 m/s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(2)'!$J$55:$J$83</c:f>
              <c:numCache>
                <c:formatCode>#,##0</c:formatCode>
                <c:ptCount val="29"/>
                <c:pt idx="0">
                  <c:v>15.673898804437533</c:v>
                </c:pt>
                <c:pt idx="1">
                  <c:v>17.273938731480779</c:v>
                </c:pt>
                <c:pt idx="2">
                  <c:v>18.507293962985631</c:v>
                </c:pt>
                <c:pt idx="3">
                  <c:v>19.524285469715945</c:v>
                </c:pt>
                <c:pt idx="4">
                  <c:v>20.396575605784019</c:v>
                </c:pt>
                <c:pt idx="5">
                  <c:v>21.164421658997373</c:v>
                </c:pt>
                <c:pt idx="6">
                  <c:v>21.85288638812645</c:v>
                </c:pt>
                <c:pt idx="7">
                  <c:v>22.478720945077075</c:v>
                </c:pt>
                <c:pt idx="8">
                  <c:v>23.053721037357999</c:v>
                </c:pt>
                <c:pt idx="9">
                  <c:v>23.586532388949038</c:v>
                </c:pt>
                <c:pt idx="10">
                  <c:v>24.083696423230343</c:v>
                </c:pt>
                <c:pt idx="11">
                  <c:v>24.550291878165904</c:v>
                </c:pt>
                <c:pt idx="12">
                  <c:v>24.990347206321694</c:v>
                </c:pt>
                <c:pt idx="13">
                  <c:v>25.407115976736218</c:v>
                </c:pt>
                <c:pt idx="14">
                  <c:v>25.80326677943593</c:v>
                </c:pt>
                <c:pt idx="15">
                  <c:v>26.18101779586927</c:v>
                </c:pt>
                <c:pt idx="16">
                  <c:v>26.542234426362484</c:v>
                </c:pt>
                <c:pt idx="17">
                  <c:v>26.888501581264521</c:v>
                </c:pt>
                <c:pt idx="18">
                  <c:v>27.221178183073103</c:v>
                </c:pt>
                <c:pt idx="19">
                  <c:v>27.541438917432377</c:v>
                </c:pt>
                <c:pt idx="20">
                  <c:v>27.850306674570014</c:v>
                </c:pt>
                <c:pt idx="21">
                  <c:v>28.148678081173614</c:v>
                </c:pt>
                <c:pt idx="22">
                  <c:v>28.437343827550926</c:v>
                </c:pt>
                <c:pt idx="23">
                  <c:v>28.717005021439906</c:v>
                </c:pt>
                <c:pt idx="24">
                  <c:v>28.988286471371023</c:v>
                </c:pt>
                <c:pt idx="25">
                  <c:v>29.251747570794556</c:v>
                </c:pt>
                <c:pt idx="26">
                  <c:v>29.507891288256246</c:v>
                </c:pt>
                <c:pt idx="27">
                  <c:v>29.757171648406882</c:v>
                </c:pt>
                <c:pt idx="28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05-444B-BAD0-D7550CEF518E}"/>
            </c:ext>
          </c:extLst>
        </c:ser>
        <c:ser>
          <c:idx val="1"/>
          <c:order val="1"/>
          <c:tx>
            <c:v>Casa de Pesca 55 m/s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(2)'!$K$55:$K$83</c:f>
              <c:numCache>
                <c:formatCode>#,##0</c:formatCode>
                <c:ptCount val="29"/>
                <c:pt idx="0">
                  <c:v>28.73548114146881</c:v>
                </c:pt>
                <c:pt idx="1">
                  <c:v>31.668887674381427</c:v>
                </c:pt>
                <c:pt idx="2">
                  <c:v>33.93003893214032</c:v>
                </c:pt>
                <c:pt idx="3">
                  <c:v>35.794523361145899</c:v>
                </c:pt>
                <c:pt idx="4">
                  <c:v>37.393721943937365</c:v>
                </c:pt>
                <c:pt idx="5">
                  <c:v>38.801439708161851</c:v>
                </c:pt>
                <c:pt idx="6">
                  <c:v>40.063625044898487</c:v>
                </c:pt>
                <c:pt idx="7">
                  <c:v>41.210988399307972</c:v>
                </c:pt>
                <c:pt idx="8">
                  <c:v>42.265155235156335</c:v>
                </c:pt>
                <c:pt idx="9">
                  <c:v>43.24197604640657</c:v>
                </c:pt>
                <c:pt idx="10">
                  <c:v>44.153443442588966</c:v>
                </c:pt>
                <c:pt idx="11">
                  <c:v>45.008868443304159</c:v>
                </c:pt>
                <c:pt idx="12">
                  <c:v>45.815636544923102</c:v>
                </c:pt>
                <c:pt idx="13">
                  <c:v>46.579712624016402</c:v>
                </c:pt>
                <c:pt idx="14">
                  <c:v>47.305989095632533</c:v>
                </c:pt>
                <c:pt idx="15">
                  <c:v>47.998532625760326</c:v>
                </c:pt>
                <c:pt idx="16">
                  <c:v>48.660763114997884</c:v>
                </c:pt>
                <c:pt idx="17">
                  <c:v>49.295586232318293</c:v>
                </c:pt>
                <c:pt idx="18">
                  <c:v>49.90549333563402</c:v>
                </c:pt>
                <c:pt idx="19">
                  <c:v>50.492638015292691</c:v>
                </c:pt>
                <c:pt idx="20">
                  <c:v>51.058895570045031</c:v>
                </c:pt>
                <c:pt idx="21">
                  <c:v>51.605909815484964</c:v>
                </c:pt>
                <c:pt idx="22">
                  <c:v>52.135130350510032</c:v>
                </c:pt>
                <c:pt idx="23">
                  <c:v>52.647842539306495</c:v>
                </c:pt>
                <c:pt idx="24">
                  <c:v>53.145191864180212</c:v>
                </c:pt>
                <c:pt idx="25">
                  <c:v>53.628203879790021</c:v>
                </c:pt>
                <c:pt idx="26">
                  <c:v>54.097800695136456</c:v>
                </c:pt>
                <c:pt idx="27">
                  <c:v>54.55481468874595</c:v>
                </c:pt>
                <c:pt idx="28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05-444B-BAD0-D7550CEF518E}"/>
            </c:ext>
          </c:extLst>
        </c:ser>
        <c:ser>
          <c:idx val="2"/>
          <c:order val="2"/>
          <c:tx>
            <c:v>Chana 29 m/s</c:v>
          </c:tx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(2)'!$L$55:$L$83</c:f>
              <c:numCache>
                <c:formatCode>0</c:formatCode>
                <c:ptCount val="29"/>
                <c:pt idx="0">
                  <c:v>11.213519426564636</c:v>
                </c:pt>
                <c:pt idx="1">
                  <c:v>13.255834236147848</c:v>
                </c:pt>
                <c:pt idx="2">
                  <c:v>14.926699546246656</c:v>
                </c:pt>
                <c:pt idx="3">
                  <c:v>16.366442729489521</c:v>
                </c:pt>
                <c:pt idx="4">
                  <c:v>17.645294697495967</c:v>
                </c:pt>
                <c:pt idx="5">
                  <c:v>18.804202279369495</c:v>
                </c:pt>
                <c:pt idx="6">
                  <c:v>19.869440705305749</c:v>
                </c:pt>
                <c:pt idx="7">
                  <c:v>20.859026739087174</c:v>
                </c:pt>
                <c:pt idx="8">
                  <c:v>21.785932138772399</c:v>
                </c:pt>
                <c:pt idx="9">
                  <c:v>22.659853033432377</c:v>
                </c:pt>
                <c:pt idx="10">
                  <c:v>23.488255768349113</c:v>
                </c:pt>
                <c:pt idx="11">
                  <c:v>24.277030342634038</c:v>
                </c:pt>
                <c:pt idx="12">
                  <c:v>25.030917319861047</c:v>
                </c:pt>
                <c:pt idx="13">
                  <c:v>25.753797191218368</c:v>
                </c:pt>
                <c:pt idx="14">
                  <c:v>26.448892651619882</c:v>
                </c:pt>
                <c:pt idx="15">
                  <c:v>27.11891375989627</c:v>
                </c:pt>
                <c:pt idx="16">
                  <c:v>27.766164494608301</c:v>
                </c:pt>
                <c:pt idx="17">
                  <c:v>28.392622529020542</c:v>
                </c:pt>
                <c:pt idx="18">
                  <c:v>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05-444B-BAD0-D7550CEF518E}"/>
            </c:ext>
          </c:extLst>
        </c:ser>
        <c:ser>
          <c:idx val="3"/>
          <c:order val="3"/>
          <c:tx>
            <c:v>Chana 55 m/s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(2)'!$M$55:$M$83</c:f>
              <c:numCache>
                <c:formatCode>0</c:formatCode>
                <c:ptCount val="29"/>
                <c:pt idx="0">
                  <c:v>21.267019602105343</c:v>
                </c:pt>
                <c:pt idx="1">
                  <c:v>25.140375275452815</c:v>
                </c:pt>
                <c:pt idx="2">
                  <c:v>28.309257760122968</c:v>
                </c:pt>
                <c:pt idx="3">
                  <c:v>31.039805176618056</c:v>
                </c:pt>
                <c:pt idx="4">
                  <c:v>33.465214081457873</c:v>
                </c:pt>
                <c:pt idx="5">
                  <c:v>35.663142253976631</c:v>
                </c:pt>
                <c:pt idx="6">
                  <c:v>37.683422027304005</c:v>
                </c:pt>
                <c:pt idx="7">
                  <c:v>39.560223125854982</c:v>
                </c:pt>
                <c:pt idx="8">
                  <c:v>41.318147159740754</c:v>
                </c:pt>
                <c:pt idx="9">
                  <c:v>42.975583339268304</c:v>
                </c:pt>
                <c:pt idx="10">
                  <c:v>44.546691974455214</c:v>
                </c:pt>
                <c:pt idx="11">
                  <c:v>46.042643753271449</c:v>
                </c:pt>
                <c:pt idx="12">
                  <c:v>47.47242939973647</c:v>
                </c:pt>
                <c:pt idx="13">
                  <c:v>48.843408466103803</c:v>
                </c:pt>
                <c:pt idx="14">
                  <c:v>50.16169295996874</c:v>
                </c:pt>
                <c:pt idx="15">
                  <c:v>51.432422648079132</c:v>
                </c:pt>
                <c:pt idx="16">
                  <c:v>52.659967144946776</c:v>
                </c:pt>
                <c:pt idx="17">
                  <c:v>53.848077210211379</c:v>
                </c:pt>
                <c:pt idx="18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05-444B-BAD0-D7550CEF518E}"/>
            </c:ext>
          </c:extLst>
        </c:ser>
        <c:ser>
          <c:idx val="4"/>
          <c:order val="4"/>
          <c:tx>
            <c:v>HT = 16 [m]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(2)'!$N$55:$N$83</c:f>
              <c:numCache>
                <c:formatCode>General</c:formatCode>
                <c:ptCount val="29"/>
                <c:pt idx="0">
                  <c:v>-16000000000</c:v>
                </c:pt>
                <c:pt idx="1">
                  <c:v>-16000000000</c:v>
                </c:pt>
                <c:pt idx="2">
                  <c:v>-16000000000</c:v>
                </c:pt>
                <c:pt idx="3">
                  <c:v>-16000000000</c:v>
                </c:pt>
                <c:pt idx="4">
                  <c:v>-16000000000</c:v>
                </c:pt>
                <c:pt idx="5">
                  <c:v>-16000000000</c:v>
                </c:pt>
                <c:pt idx="6">
                  <c:v>-16000000000</c:v>
                </c:pt>
                <c:pt idx="7">
                  <c:v>-16000000000</c:v>
                </c:pt>
                <c:pt idx="8">
                  <c:v>-16000000000</c:v>
                </c:pt>
                <c:pt idx="9">
                  <c:v>-16000000000</c:v>
                </c:pt>
                <c:pt idx="10">
                  <c:v>-16000000000</c:v>
                </c:pt>
                <c:pt idx="11">
                  <c:v>-16000000000</c:v>
                </c:pt>
                <c:pt idx="12">
                  <c:v>-16000000000</c:v>
                </c:pt>
                <c:pt idx="13">
                  <c:v>-16000000000</c:v>
                </c:pt>
                <c:pt idx="14">
                  <c:v>12</c:v>
                </c:pt>
                <c:pt idx="15">
                  <c:v>16000000000</c:v>
                </c:pt>
                <c:pt idx="16">
                  <c:v>16000000000</c:v>
                </c:pt>
                <c:pt idx="17">
                  <c:v>16000000000</c:v>
                </c:pt>
                <c:pt idx="18">
                  <c:v>16000000000</c:v>
                </c:pt>
                <c:pt idx="19">
                  <c:v>16000000000</c:v>
                </c:pt>
                <c:pt idx="20">
                  <c:v>16000000000</c:v>
                </c:pt>
                <c:pt idx="21">
                  <c:v>16000000000</c:v>
                </c:pt>
                <c:pt idx="22">
                  <c:v>16000000000</c:v>
                </c:pt>
                <c:pt idx="23">
                  <c:v>16000000000</c:v>
                </c:pt>
                <c:pt idx="24">
                  <c:v>16000000000</c:v>
                </c:pt>
                <c:pt idx="25">
                  <c:v>16000000000</c:v>
                </c:pt>
                <c:pt idx="26">
                  <c:v>16000000000</c:v>
                </c:pt>
                <c:pt idx="27">
                  <c:v>16000000000</c:v>
                </c:pt>
                <c:pt idx="28">
                  <c:v>16000000000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205-444B-BAD0-D7550CEF518E}"/>
            </c:ext>
          </c:extLst>
        </c:ser>
        <c:ser>
          <c:idx val="5"/>
          <c:order val="5"/>
          <c:tx>
            <c:v>v med.cuadr.  38 m/s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'Velocidad según altura (2)'!$I$55:$I$83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'Velocidad según altura (2)'!$O$55:$O$83</c:f>
              <c:numCache>
                <c:formatCode>0</c:formatCode>
                <c:ptCount val="29"/>
                <c:pt idx="0">
                  <c:v>23.14518286991332</c:v>
                </c:pt>
                <c:pt idx="1">
                  <c:v>25.507914515219973</c:v>
                </c:pt>
                <c:pt idx="2">
                  <c:v>27.329173713898872</c:v>
                </c:pt>
                <c:pt idx="3">
                  <c:v>28.830934998318913</c:v>
                </c:pt>
                <c:pt idx="4">
                  <c:v>30.119020047662296</c:v>
                </c:pt>
                <c:pt idx="5">
                  <c:v>31.252875608381672</c:v>
                </c:pt>
                <c:pt idx="6">
                  <c:v>32.269511115219728</c:v>
                </c:pt>
                <c:pt idx="7">
                  <c:v>33.19366249884564</c:v>
                </c:pt>
                <c:pt idx="8">
                  <c:v>34.042748131725396</c:v>
                </c:pt>
                <c:pt idx="9">
                  <c:v>34.829534898796318</c:v>
                </c:pt>
                <c:pt idx="10">
                  <c:v>35.563682326526738</c:v>
                </c:pt>
                <c:pt idx="11">
                  <c:v>36.252690037084143</c:v>
                </c:pt>
                <c:pt idx="12">
                  <c:v>36.902506727246887</c:v>
                </c:pt>
                <c:pt idx="13">
                  <c:v>37.517936846202495</c:v>
                </c:pt>
                <c:pt idx="14">
                  <c:v>38.102921021929838</c:v>
                </c:pt>
                <c:pt idx="15">
                  <c:v>38.660734777379766</c:v>
                </c:pt>
                <c:pt idx="16">
                  <c:v>39.194132694052051</c:v>
                </c:pt>
                <c:pt idx="17">
                  <c:v>39.705455162191463</c:v>
                </c:pt>
                <c:pt idx="18">
                  <c:v>40.196708862465513</c:v>
                </c:pt>
                <c:pt idx="19">
                  <c:v>40.669628418428161</c:v>
                </c:pt>
                <c:pt idx="20">
                  <c:v>41.125724301830623</c:v>
                </c:pt>
                <c:pt idx="21">
                  <c:v>41.566320534788204</c:v>
                </c:pt>
                <c:pt idx="22">
                  <c:v>41.992584706296789</c:v>
                </c:pt>
                <c:pt idx="23">
                  <c:v>42.405552121420463</c:v>
                </c:pt>
                <c:pt idx="24">
                  <c:v>42.806145416439911</c:v>
                </c:pt>
                <c:pt idx="25">
                  <c:v>43.195190631121257</c:v>
                </c:pt>
                <c:pt idx="26">
                  <c:v>43.573430484242664</c:v>
                </c:pt>
                <c:pt idx="27">
                  <c:v>43.941535420579932</c:v>
                </c:pt>
                <c:pt idx="28">
                  <c:v>44.300112866673373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205-444B-BAD0-D7550CEF5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06560"/>
        <c:axId val="127908480"/>
      </c:scatterChart>
      <c:valAx>
        <c:axId val="127906560"/>
        <c:scaling>
          <c:orientation val="minMax"/>
          <c:max val="2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Altura de la torre  hT  [</a:t>
                </a:r>
                <a:r>
                  <a:rPr lang="en-US" sz="1400" i="1">
                    <a:latin typeface="Times New Roman" pitchFamily="18" charset="0"/>
                    <a:cs typeface="Times New Roman" pitchFamily="18" charset="0"/>
                  </a:rPr>
                  <a:t>m</a:t>
                </a:r>
                <a:r>
                  <a:rPr lang="en-US" sz="1400"/>
                  <a:t>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908480"/>
        <c:crosses val="autoZero"/>
        <c:crossBetween val="midCat"/>
        <c:majorUnit val="1"/>
      </c:valAx>
      <c:valAx>
        <c:axId val="127908480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Velocidad del viento  v [</a:t>
                </a:r>
                <a:r>
                  <a:rPr lang="en-US" sz="1400" i="1">
                    <a:latin typeface="Times New Roman" pitchFamily="18" charset="0"/>
                    <a:cs typeface="Times New Roman" pitchFamily="18" charset="0"/>
                  </a:rPr>
                  <a:t>m/s</a:t>
                </a:r>
                <a:r>
                  <a:rPr lang="en-US" sz="1400"/>
                  <a:t>]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7906560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69983935320371571"/>
          <c:y val="0.52711647570999021"/>
          <c:w val="0.26155966451872964"/>
          <c:h val="0.3050481713737926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Velocidad del viento medio mensual en Casa de Pesca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400912848856865E-2"/>
          <c:y val="0.11494193206709476"/>
          <c:w val="0.86155446194224816"/>
          <c:h val="0.74810972641886075"/>
        </c:manualLayout>
      </c:layout>
      <c:barChart>
        <c:barDir val="col"/>
        <c:grouping val="clustered"/>
        <c:varyColors val="0"/>
        <c:ser>
          <c:idx val="0"/>
          <c:order val="0"/>
          <c:tx>
            <c:v>Máximo mensual registrado a 30 [m.s.n.m.]</c:v>
          </c:tx>
          <c:spPr>
            <a:solidFill>
              <a:srgbClr val="FF0000">
                <a:alpha val="25000"/>
              </a:srgbClr>
            </a:solidFill>
          </c:spPr>
          <c:invertIfNegative val="0"/>
          <c:cat>
            <c:strRef>
              <c:f>[1]Hoja1!$A$17:$A$28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[1]Hoja1!$B$17:$B$28</c:f>
              <c:numCache>
                <c:formatCode>General</c:formatCode>
                <c:ptCount val="12"/>
                <c:pt idx="0">
                  <c:v>22</c:v>
                </c:pt>
                <c:pt idx="1">
                  <c:v>18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30</c:v>
                </c:pt>
                <c:pt idx="6">
                  <c:v>23.5</c:v>
                </c:pt>
                <c:pt idx="7">
                  <c:v>29.75</c:v>
                </c:pt>
                <c:pt idx="8">
                  <c:v>23</c:v>
                </c:pt>
                <c:pt idx="9">
                  <c:v>20</c:v>
                </c:pt>
                <c:pt idx="10">
                  <c:v>20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1-4032-A0B6-67C0A5B7FB7D}"/>
            </c:ext>
          </c:extLst>
        </c:ser>
        <c:ser>
          <c:idx val="1"/>
          <c:order val="1"/>
          <c:tx>
            <c:v>Medio mensual a 30 [m.s.n.m.]</c:v>
          </c:tx>
          <c:spPr>
            <a:solidFill>
              <a:srgbClr val="00B0F0"/>
            </a:solidFill>
          </c:spPr>
          <c:invertIfNegative val="0"/>
          <c:cat>
            <c:strRef>
              <c:f>[1]Hoja1!$A$17:$A$28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[1]Hoja1!$C$17:$C$28</c:f>
              <c:numCache>
                <c:formatCode>General</c:formatCode>
                <c:ptCount val="12"/>
                <c:pt idx="0">
                  <c:v>4.9400000000000004</c:v>
                </c:pt>
                <c:pt idx="1">
                  <c:v>4.29</c:v>
                </c:pt>
                <c:pt idx="2">
                  <c:v>4.33</c:v>
                </c:pt>
                <c:pt idx="3">
                  <c:v>4.49</c:v>
                </c:pt>
                <c:pt idx="4">
                  <c:v>4.25</c:v>
                </c:pt>
                <c:pt idx="5">
                  <c:v>5.3</c:v>
                </c:pt>
                <c:pt idx="6">
                  <c:v>5.39</c:v>
                </c:pt>
                <c:pt idx="7">
                  <c:v>6.13</c:v>
                </c:pt>
                <c:pt idx="8">
                  <c:v>4.68</c:v>
                </c:pt>
                <c:pt idx="9">
                  <c:v>4.6900000000000004</c:v>
                </c:pt>
                <c:pt idx="10">
                  <c:v>4.9000000000000004</c:v>
                </c:pt>
                <c:pt idx="11">
                  <c:v>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1-4032-A0B6-67C0A5B7FB7D}"/>
            </c:ext>
          </c:extLst>
        </c:ser>
        <c:ser>
          <c:idx val="2"/>
          <c:order val="2"/>
          <c:tx>
            <c:v>Medio mensual a 15 [m.s.n.m.]</c:v>
          </c:tx>
          <c:spPr>
            <a:solidFill>
              <a:srgbClr val="00B050"/>
            </a:solidFill>
          </c:spPr>
          <c:invertIfNegative val="0"/>
          <c:cat>
            <c:strRef>
              <c:f>[1]Hoja1!$A$17:$A$28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[1]Hoja1!$D$17:$D$28</c:f>
              <c:numCache>
                <c:formatCode>General</c:formatCode>
                <c:ptCount val="12"/>
                <c:pt idx="0">
                  <c:v>4.38</c:v>
                </c:pt>
                <c:pt idx="1">
                  <c:v>3.73</c:v>
                </c:pt>
                <c:pt idx="2">
                  <c:v>3.56</c:v>
                </c:pt>
                <c:pt idx="3">
                  <c:v>3.6</c:v>
                </c:pt>
                <c:pt idx="4">
                  <c:v>3.49</c:v>
                </c:pt>
                <c:pt idx="5">
                  <c:v>4.25</c:v>
                </c:pt>
                <c:pt idx="6">
                  <c:v>4.5599999999999996</c:v>
                </c:pt>
                <c:pt idx="7">
                  <c:v>5.0999999999999996</c:v>
                </c:pt>
                <c:pt idx="8">
                  <c:v>3.76</c:v>
                </c:pt>
                <c:pt idx="9">
                  <c:v>3.88</c:v>
                </c:pt>
                <c:pt idx="10">
                  <c:v>4.05</c:v>
                </c:pt>
                <c:pt idx="11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51-4032-A0B6-67C0A5B7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61984"/>
        <c:axId val="128363904"/>
      </c:barChart>
      <c:catAx>
        <c:axId val="12836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/>
                  <a:t>Meses de año observado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28363904"/>
        <c:crosses val="autoZero"/>
        <c:auto val="1"/>
        <c:lblAlgn val="ctr"/>
        <c:lblOffset val="100"/>
        <c:noMultiLvlLbl val="0"/>
      </c:catAx>
      <c:valAx>
        <c:axId val="128363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Velocidad  v  </a:t>
                </a:r>
                <a:r>
                  <a:rPr lang="en-US" sz="1100" b="1" i="0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en-US" sz="1100" b="1" i="1">
                    <a:latin typeface="Times New Roman" pitchFamily="18" charset="0"/>
                    <a:cs typeface="Times New Roman" pitchFamily="18" charset="0"/>
                  </a:rPr>
                  <a:t>m/s</a:t>
                </a:r>
                <a:r>
                  <a:rPr lang="en-US" sz="1100" b="1">
                    <a:latin typeface="Times New Roman" pitchFamily="18" charset="0"/>
                    <a:cs typeface="Times New Roman" pitchFamily="18" charset="0"/>
                  </a:rPr>
                  <a:t>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8361984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9.8904350988098064E-2"/>
          <c:y val="0.11757418560099576"/>
          <c:w val="0.45595707286145182"/>
          <c:h val="0.15595562672626809"/>
        </c:manualLayout>
      </c:layout>
      <c:overlay val="0"/>
      <c:spPr>
        <a:solidFill>
          <a:sysClr val="window" lastClr="FFFFFF">
            <a:lumMod val="85000"/>
            <a:alpha val="30000"/>
          </a:sysClr>
        </a:solidFill>
      </c:sp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7" Type="http://schemas.openxmlformats.org/officeDocument/2006/relationships/image" Target="../media/image18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7" Type="http://schemas.openxmlformats.org/officeDocument/2006/relationships/image" Target="../media/image19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27.emf"/><Relationship Id="rId3" Type="http://schemas.openxmlformats.org/officeDocument/2006/relationships/image" Target="../media/image22.emf"/><Relationship Id="rId7" Type="http://schemas.openxmlformats.org/officeDocument/2006/relationships/image" Target="../media/image26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Relationship Id="rId6" Type="http://schemas.openxmlformats.org/officeDocument/2006/relationships/image" Target="../media/image25.emf"/><Relationship Id="rId5" Type="http://schemas.openxmlformats.org/officeDocument/2006/relationships/image" Target="../media/image24.emf"/><Relationship Id="rId10" Type="http://schemas.openxmlformats.org/officeDocument/2006/relationships/image" Target="../media/image29.emf"/><Relationship Id="rId4" Type="http://schemas.openxmlformats.org/officeDocument/2006/relationships/image" Target="../media/image23.emf"/><Relationship Id="rId9" Type="http://schemas.openxmlformats.org/officeDocument/2006/relationships/image" Target="../media/image28.emf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3" Type="http://schemas.openxmlformats.org/officeDocument/2006/relationships/image" Target="../media/image32.emf"/><Relationship Id="rId7" Type="http://schemas.openxmlformats.org/officeDocument/2006/relationships/image" Target="../media/image36.emf"/><Relationship Id="rId12" Type="http://schemas.openxmlformats.org/officeDocument/2006/relationships/image" Target="../media/image41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Relationship Id="rId6" Type="http://schemas.openxmlformats.org/officeDocument/2006/relationships/image" Target="../media/image35.emf"/><Relationship Id="rId11" Type="http://schemas.openxmlformats.org/officeDocument/2006/relationships/image" Target="../media/image40.emf"/><Relationship Id="rId5" Type="http://schemas.openxmlformats.org/officeDocument/2006/relationships/image" Target="../media/image34.emf"/><Relationship Id="rId10" Type="http://schemas.openxmlformats.org/officeDocument/2006/relationships/image" Target="../media/image39.emf"/><Relationship Id="rId4" Type="http://schemas.openxmlformats.org/officeDocument/2006/relationships/image" Target="../media/image33.emf"/><Relationship Id="rId9" Type="http://schemas.openxmlformats.org/officeDocument/2006/relationships/image" Target="../media/image38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44.emf"/><Relationship Id="rId2" Type="http://schemas.openxmlformats.org/officeDocument/2006/relationships/image" Target="../media/image43.emf"/><Relationship Id="rId1" Type="http://schemas.openxmlformats.org/officeDocument/2006/relationships/image" Target="../media/image42.emf"/><Relationship Id="rId4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0</xdr:rowOff>
    </xdr:from>
    <xdr:to>
      <xdr:col>17</xdr:col>
      <xdr:colOff>314325</xdr:colOff>
      <xdr:row>16</xdr:row>
      <xdr:rowOff>38101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123825</xdr:colOff>
      <xdr:row>16</xdr:row>
      <xdr:rowOff>95250</xdr:rowOff>
    </xdr:from>
    <xdr:to>
      <xdr:col>17</xdr:col>
      <xdr:colOff>323850</xdr:colOff>
      <xdr:row>32</xdr:row>
      <xdr:rowOff>142876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123824</xdr:colOff>
      <xdr:row>33</xdr:row>
      <xdr:rowOff>9526</xdr:rowOff>
    </xdr:from>
    <xdr:to>
      <xdr:col>17</xdr:col>
      <xdr:colOff>333375</xdr:colOff>
      <xdr:row>50</xdr:row>
      <xdr:rowOff>171450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333375</xdr:colOff>
      <xdr:row>52</xdr:row>
      <xdr:rowOff>85725</xdr:rowOff>
    </xdr:from>
    <xdr:to>
      <xdr:col>17</xdr:col>
      <xdr:colOff>466725</xdr:colOff>
      <xdr:row>70</xdr:row>
      <xdr:rowOff>9525</xdr:rowOff>
    </xdr:to>
    <xdr:grpSp>
      <xdr:nvGrpSpPr>
        <xdr:cNvPr id="22" name="21 Grup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3571875" y="9991725"/>
          <a:ext cx="5962650" cy="3352800"/>
          <a:chOff x="3571875" y="9991725"/>
          <a:chExt cx="5962650" cy="3352800"/>
        </a:xfrm>
      </xdr:grpSpPr>
      <xdr:sp macro="" textlink="">
        <xdr:nvSpPr>
          <xdr:cNvPr id="26" name="25 CuadroTexto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3571875" y="9991725"/>
            <a:ext cx="5962650" cy="33528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100"/>
              <a:t>                 </a:t>
            </a:r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Demanda</a:t>
            </a: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                      MW</a:t>
            </a: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     Dem. Máx</a:t>
            </a: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endParaRPr lang="es-ES" sz="1100" b="1" i="1">
              <a:latin typeface="Times New Roman" pitchFamily="18" charset="0"/>
              <a:cs typeface="Times New Roman" pitchFamily="18" charset="0"/>
            </a:endParaRP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				</a:t>
            </a: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						                                     						h	</a:t>
            </a: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                              HP </a:t>
            </a:r>
          </a:p>
          <a:p>
            <a:r>
              <a:rPr lang="es-ES" sz="1100" b="1" i="1">
                <a:latin typeface="Times New Roman" pitchFamily="18" charset="0"/>
                <a:cs typeface="Times New Roman" pitchFamily="18" charset="0"/>
              </a:rPr>
              <a:t>		       8.760 h	</a:t>
            </a:r>
          </a:p>
        </xdr:txBody>
      </xdr:sp>
      <xdr:grpSp>
        <xdr:nvGrpSpPr>
          <xdr:cNvPr id="19" name="18 Grupo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4314826" y="10467975"/>
            <a:ext cx="4762501" cy="2476500"/>
            <a:chOff x="4324351" y="10467975"/>
            <a:chExt cx="4762501" cy="2476500"/>
          </a:xfrm>
        </xdr:grpSpPr>
        <xdr:grpSp>
          <xdr:nvGrpSpPr>
            <xdr:cNvPr id="10" name="9 Grupo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4324351" y="10467975"/>
              <a:ext cx="4762501" cy="2476500"/>
              <a:chOff x="4314825" y="10277475"/>
              <a:chExt cx="4762500" cy="2476500"/>
            </a:xfrm>
          </xdr:grpSpPr>
          <xdr:cxnSp macro="">
            <xdr:nvCxnSpPr>
              <xdr:cNvPr id="7" name="6 Conector recto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>
                <a:off x="4533900" y="10277475"/>
                <a:ext cx="0" cy="2476500"/>
              </a:xfrm>
              <a:prstGeom prst="line">
                <a:avLst/>
              </a:prstGeom>
              <a:ln w="12700">
                <a:solidFill>
                  <a:schemeClr val="tx1"/>
                </a:solidFill>
                <a:head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8 Conector recto de flecha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CxnSpPr/>
            </xdr:nvCxnSpPr>
            <xdr:spPr>
              <a:xfrm flipV="1">
                <a:off x="4314825" y="12382500"/>
                <a:ext cx="4762500" cy="2"/>
              </a:xfrm>
              <a:prstGeom prst="straightConnector1">
                <a:avLst/>
              </a:prstGeom>
              <a:ln w="12700"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" name="10 Forma libre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 rot="601655">
              <a:off x="4458380" y="10966274"/>
              <a:ext cx="4031992" cy="891027"/>
            </a:xfrm>
            <a:custGeom>
              <a:avLst/>
              <a:gdLst>
                <a:gd name="connsiteX0" fmla="*/ 0 w 3286125"/>
                <a:gd name="connsiteY0" fmla="*/ 47625 h 1511300"/>
                <a:gd name="connsiteX1" fmla="*/ 628650 w 3286125"/>
                <a:gd name="connsiteY1" fmla="*/ 209550 h 1511300"/>
                <a:gd name="connsiteX2" fmla="*/ 1590675 w 3286125"/>
                <a:gd name="connsiteY2" fmla="*/ 1304925 h 1511300"/>
                <a:gd name="connsiteX3" fmla="*/ 3286125 w 3286125"/>
                <a:gd name="connsiteY3" fmla="*/ 1447800 h 15113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3286125" h="1511300">
                  <a:moveTo>
                    <a:pt x="0" y="47625"/>
                  </a:moveTo>
                  <a:cubicBezTo>
                    <a:pt x="181769" y="23812"/>
                    <a:pt x="363538" y="0"/>
                    <a:pt x="628650" y="209550"/>
                  </a:cubicBezTo>
                  <a:cubicBezTo>
                    <a:pt x="893762" y="419100"/>
                    <a:pt x="1147763" y="1098550"/>
                    <a:pt x="1590675" y="1304925"/>
                  </a:cubicBezTo>
                  <a:cubicBezTo>
                    <a:pt x="2033588" y="1511300"/>
                    <a:pt x="2970213" y="1420813"/>
                    <a:pt x="3286125" y="1447800"/>
                  </a:cubicBezTo>
                </a:path>
              </a:pathLst>
            </a:custGeom>
            <a:ln w="19050">
              <a:solidFill>
                <a:schemeClr val="tx2">
                  <a:lumMod val="60000"/>
                  <a:lumOff val="4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es-ES" sz="1100"/>
            </a:p>
          </xdr:txBody>
        </xdr:sp>
        <xdr:grpSp>
          <xdr:nvGrpSpPr>
            <xdr:cNvPr id="24" name="23 Grupo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4543426" y="10620375"/>
              <a:ext cx="3895726" cy="2324100"/>
              <a:chOff x="4533900" y="10429875"/>
              <a:chExt cx="3895725" cy="2324100"/>
            </a:xfrm>
          </xdr:grpSpPr>
          <xdr:cxnSp macro="">
            <xdr:nvCxnSpPr>
              <xdr:cNvPr id="14" name="13 Conector recto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CxnSpPr/>
            </xdr:nvCxnSpPr>
            <xdr:spPr>
              <a:xfrm>
                <a:off x="8410575" y="11620500"/>
                <a:ext cx="9525" cy="1133475"/>
              </a:xfrm>
              <a:prstGeom prst="line">
                <a:avLst/>
              </a:prstGeom>
              <a:ln>
                <a:prstDash val="dash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" name="17 Conector recto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CxnSpPr/>
            </xdr:nvCxnSpPr>
            <xdr:spPr>
              <a:xfrm>
                <a:off x="4533900" y="12753975"/>
                <a:ext cx="3895725" cy="0"/>
              </a:xfrm>
              <a:prstGeom prst="line">
                <a:avLst/>
              </a:prstGeom>
              <a:ln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20 Conector recto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CxnSpPr/>
            </xdr:nvCxnSpPr>
            <xdr:spPr>
              <a:xfrm>
                <a:off x="5038725" y="10429875"/>
                <a:ext cx="9525" cy="2152650"/>
              </a:xfrm>
              <a:prstGeom prst="line">
                <a:avLst/>
              </a:prstGeom>
              <a:ln>
                <a:prstDash val="dash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22 Conector recto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4543425" y="12582525"/>
                <a:ext cx="504825" cy="0"/>
              </a:xfrm>
              <a:prstGeom prst="line">
                <a:avLst/>
              </a:prstGeom>
              <a:ln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152400</xdr:rowOff>
        </xdr:from>
        <xdr:to>
          <xdr:col>5</xdr:col>
          <xdr:colOff>390525</xdr:colOff>
          <xdr:row>4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12</xdr:row>
          <xdr:rowOff>133350</xdr:rowOff>
        </xdr:from>
        <xdr:to>
          <xdr:col>4</xdr:col>
          <xdr:colOff>419100</xdr:colOff>
          <xdr:row>13</xdr:row>
          <xdr:rowOff>171450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14</xdr:row>
          <xdr:rowOff>76200</xdr:rowOff>
        </xdr:from>
        <xdr:to>
          <xdr:col>4</xdr:col>
          <xdr:colOff>438150</xdr:colOff>
          <xdr:row>16</xdr:row>
          <xdr:rowOff>123825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A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</xdr:row>
          <xdr:rowOff>104775</xdr:rowOff>
        </xdr:from>
        <xdr:to>
          <xdr:col>7</xdr:col>
          <xdr:colOff>390525</xdr:colOff>
          <xdr:row>5</xdr:row>
          <xdr:rowOff>152400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A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435429</xdr:colOff>
      <xdr:row>6</xdr:row>
      <xdr:rowOff>37620</xdr:rowOff>
    </xdr:from>
    <xdr:to>
      <xdr:col>26</xdr:col>
      <xdr:colOff>424543</xdr:colOff>
      <xdr:row>23</xdr:row>
      <xdr:rowOff>29612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>
          <a:off x="6702879" y="1256820"/>
          <a:ext cx="5361214" cy="3230492"/>
          <a:chOff x="6702879" y="1180620"/>
          <a:chExt cx="5361214" cy="3230492"/>
        </a:xfrm>
      </xdr:grpSpPr>
      <xdr:graphicFrame macro="">
        <xdr:nvGraphicFramePr>
          <xdr:cNvPr id="20" name="2 Gráfico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GraphicFramePr>
            <a:graphicFrameLocks/>
          </xdr:cNvGraphicFramePr>
        </xdr:nvGraphicFramePr>
        <xdr:xfrm>
          <a:off x="6702879" y="1183820"/>
          <a:ext cx="5360800" cy="32272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2 Gráfico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aphicFramePr/>
        </xdr:nvGraphicFramePr>
        <xdr:xfrm>
          <a:off x="6703293" y="1180620"/>
          <a:ext cx="5360800" cy="32272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1" name="14 CuadroTexto">
                <a:extLst>
                  <a:ext uri="{FF2B5EF4-FFF2-40B4-BE49-F238E27FC236}">
                    <a16:creationId xmlns:a16="http://schemas.microsoft.com/office/drawing/2014/main" id="{00000000-0008-0000-0A00-000015000000}"/>
                  </a:ext>
                </a:extLst>
              </xdr:cNvPr>
              <xdr:cNvSpPr txBox="1"/>
            </xdr:nvSpPr>
            <xdr:spPr>
              <a:xfrm>
                <a:off x="9439274" y="1914525"/>
                <a:ext cx="2409825" cy="633730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rtlCol="0" anchor="t">
                <a:noAutofit/>
              </a:bodyPr>
              <a:lstStyle/>
              <a:p>
                <a:pPr indent="450215" algn="just">
                  <a:lnSpc>
                    <a:spcPct val="115000"/>
                  </a:lnSpc>
                  <a:spcAft>
                    <a:spcPts val="0"/>
                  </a:spcAft>
                </a:pPr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CL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es-ES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  <m:t>𝑅</m:t>
                          </m:r>
                        </m:e>
                        <m:sub>
                          <m:r>
                            <a:rPr lang="es-ES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  <m:t>𝑆𝑇</m:t>
                          </m:r>
                        </m:sub>
                      </m:sSub>
                      <m:r>
                        <a:rPr lang="es-ES" sz="11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=1,49598∙</m:t>
                      </m:r>
                      <m:sSup>
                        <m:sSupPr>
                          <m:ctrlPr>
                            <a:rPr lang="es-CL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</m:ctrlPr>
                        </m:sSupPr>
                        <m:e>
                          <m:r>
                            <a:rPr lang="es-ES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  <m:t>10</m:t>
                          </m:r>
                        </m:e>
                        <m:sup>
                          <m:r>
                            <a:rPr lang="es-ES" sz="11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  <m:t>11</m:t>
                          </m:r>
                        </m:sup>
                      </m:sSup>
                      <m:r>
                        <a:rPr lang="es-ES" sz="11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 [</m:t>
                      </m:r>
                      <m:r>
                        <a:rPr lang="es-ES" sz="11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𝑚</m:t>
                      </m:r>
                      <m:r>
                        <a:rPr lang="es-ES" sz="11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]</m:t>
                      </m:r>
                    </m:oMath>
                  </m:oMathPara>
                </a14:m>
                <a:endParaRPr lang="es-CL" sz="1100">
                  <a:effectLst/>
                  <a:latin typeface="Arial Unicode MS"/>
                  <a:ea typeface="Times New Roman" panose="02020603050405020304" pitchFamily="18" charset="0"/>
                </a:endParaRPr>
              </a:p>
              <a:p>
                <a:pPr>
                  <a:spcAft>
                    <a:spcPts val="0"/>
                  </a:spcAft>
                </a:pPr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s-CL" sz="12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𝑝</m:t>
                      </m:r>
                      <m:r>
                        <a:rPr lang="es-CL" sz="1200" i="1"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=1.405 </m:t>
                      </m:r>
                      <m:d>
                        <m:dPr>
                          <m:begChr m:val="["/>
                          <m:endChr m:val="]"/>
                          <m:ctrlPr>
                            <a:rPr lang="es-CL" sz="1200" i="1"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CL" sz="1200" i="1">
                                  <a:effectLst/>
                                  <a:latin typeface="Cambria Math" panose="02040503050406030204" pitchFamily="18" charset="0"/>
                                  <a:ea typeface="Times New Roman" panose="02020603050405020304" pitchFamily="18" charset="0"/>
                                </a:rPr>
                              </m:ctrlPr>
                            </m:fPr>
                            <m:num>
                              <m:r>
                                <a:rPr lang="es-CL" sz="1200" i="1">
                                  <a:effectLst/>
                                  <a:latin typeface="Cambria Math" panose="02040503050406030204" pitchFamily="18" charset="0"/>
                                  <a:ea typeface="Times New Roman" panose="02020603050405020304" pitchFamily="18" charset="0"/>
                                </a:rPr>
                                <m:t>𝑊</m:t>
                              </m:r>
                            </m:num>
                            <m:den>
                              <m:sSup>
                                <m:sSupPr>
                                  <m:ctrlPr>
                                    <a:rPr lang="es-CL" sz="1200" i="1">
                                      <a:effectLst/>
                                      <a:latin typeface="Cambria Math" panose="02040503050406030204" pitchFamily="18" charset="0"/>
                                      <a:ea typeface="Times New Roman" panose="02020603050405020304" pitchFamily="18" charset="0"/>
                                    </a:rPr>
                                  </m:ctrlPr>
                                </m:sSupPr>
                                <m:e>
                                  <m:r>
                                    <a:rPr lang="es-CL" sz="1200" i="1">
                                      <a:effectLst/>
                                      <a:latin typeface="Cambria Math" panose="02040503050406030204" pitchFamily="18" charset="0"/>
                                      <a:ea typeface="Times New Roman" panose="02020603050405020304" pitchFamily="18" charset="0"/>
                                    </a:rPr>
                                    <m:t>𝑚</m:t>
                                  </m:r>
                                </m:e>
                                <m:sup>
                                  <m:r>
                                    <a:rPr lang="es-CL" sz="1200" i="1">
                                      <a:effectLst/>
                                      <a:latin typeface="Cambria Math" panose="02040503050406030204" pitchFamily="18" charset="0"/>
                                      <a:ea typeface="Times New Roman" panose="02020603050405020304" pitchFamily="18" charset="0"/>
                                    </a:rPr>
                                    <m:t>2</m:t>
                                  </m:r>
                                </m:sup>
                              </m:sSup>
                            </m:den>
                          </m:f>
                        </m:e>
                      </m:d>
                    </m:oMath>
                  </m:oMathPara>
                </a14:m>
                <a:endParaRPr lang="es-CL" sz="12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21" name="14 CuadroTexto">
                <a:extLst>
                  <a:ext uri="{FF2B5EF4-FFF2-40B4-BE49-F238E27FC236}">
                    <a16:creationId xmlns:a16="http://schemas.microsoft.com/office/drawing/2014/main" id="{00000000-0008-0000-0A00-00000F000000}"/>
                  </a:ext>
                </a:extLst>
              </xdr:cNvPr>
              <xdr:cNvSpPr txBox="1"/>
            </xdr:nvSpPr>
            <xdr:spPr>
              <a:xfrm>
                <a:off x="9439274" y="1914525"/>
                <a:ext cx="2409825" cy="633730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rtlCol="0" anchor="t">
                <a:noAutofit/>
              </a:bodyPr>
              <a:lstStyle/>
              <a:p>
                <a:pPr indent="450215" algn="just">
                  <a:lnSpc>
                    <a:spcPct val="115000"/>
                  </a:lnSpc>
                  <a:spcAft>
                    <a:spcPts val="0"/>
                  </a:spcAft>
                </a:pPr>
                <a:r>
                  <a:rPr lang="es-ES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𝑅</a:t>
                </a:r>
                <a:r>
                  <a:rPr lang="es-CL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_</a:t>
                </a:r>
                <a:r>
                  <a:rPr lang="es-ES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𝑆𝑇=1,49598∙</a:t>
                </a:r>
                <a:r>
                  <a:rPr lang="es-CL" sz="1100" i="0">
                    <a:effectLst/>
                    <a:latin typeface="Cambria Math" panose="02040503050406030204" pitchFamily="18" charset="0"/>
                  </a:rPr>
                  <a:t>〖</a:t>
                </a:r>
                <a:r>
                  <a:rPr lang="es-ES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10</a:t>
                </a:r>
                <a:r>
                  <a:rPr lang="es-CL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〗^</a:t>
                </a:r>
                <a:r>
                  <a:rPr lang="es-ES" sz="11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11  [𝑚]</a:t>
                </a:r>
                <a:endParaRPr lang="es-CL" sz="1100">
                  <a:effectLst/>
                  <a:latin typeface="Arial Unicode MS"/>
                  <a:ea typeface="Times New Roman" panose="02020603050405020304" pitchFamily="18" charset="0"/>
                </a:endParaRPr>
              </a:p>
              <a:p>
                <a:pPr>
                  <a:spcAft>
                    <a:spcPts val="0"/>
                  </a:spcAft>
                </a:pPr>
                <a:r>
                  <a:rPr lang="es-CL" sz="12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𝑝=1.405 </a:t>
                </a:r>
                <a:r>
                  <a:rPr lang="es-CL" sz="1200" i="0">
                    <a:effectLst/>
                    <a:latin typeface="Cambria Math" panose="02040503050406030204" pitchFamily="18" charset="0"/>
                  </a:rPr>
                  <a:t>[</a:t>
                </a:r>
                <a:r>
                  <a:rPr lang="es-CL" sz="1200" i="0">
                    <a:effectLst/>
                    <a:latin typeface="Cambria Math" panose="02040503050406030204" pitchFamily="18" charset="0"/>
                    <a:ea typeface="Times New Roman" panose="02020603050405020304" pitchFamily="18" charset="0"/>
                  </a:rPr>
                  <a:t>𝑊/𝑚^2 ]</a:t>
                </a:r>
                <a:endParaRPr lang="es-CL" sz="12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</mc:Fallback>
      </mc:AlternateContent>
      <xdr:cxnSp macro="">
        <xdr:nvCxnSpPr>
          <xdr:cNvPr id="17" name="16 Conector recto de flecha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CxnSpPr/>
        </xdr:nvCxnSpPr>
        <xdr:spPr>
          <a:xfrm flipH="1">
            <a:off x="8420100" y="2362200"/>
            <a:ext cx="1609725" cy="238117"/>
          </a:xfrm>
          <a:prstGeom prst="straightConnector1">
            <a:avLst/>
          </a:prstGeom>
          <a:solidFill>
            <a:schemeClr val="bg1">
              <a:alpha val="28000"/>
            </a:schemeClr>
          </a:solidFill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5</xdr:row>
      <xdr:rowOff>0</xdr:rowOff>
    </xdr:from>
    <xdr:to>
      <xdr:col>18</xdr:col>
      <xdr:colOff>438151</xdr:colOff>
      <xdr:row>24</xdr:row>
      <xdr:rowOff>180974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0</xdr:row>
          <xdr:rowOff>85725</xdr:rowOff>
        </xdr:from>
        <xdr:to>
          <xdr:col>5</xdr:col>
          <xdr:colOff>209550</xdr:colOff>
          <xdr:row>2</xdr:row>
          <xdr:rowOff>133350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B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</xdr:row>
          <xdr:rowOff>19050</xdr:rowOff>
        </xdr:from>
        <xdr:to>
          <xdr:col>3</xdr:col>
          <xdr:colOff>161925</xdr:colOff>
          <xdr:row>8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8</xdr:row>
          <xdr:rowOff>152400</xdr:rowOff>
        </xdr:from>
        <xdr:to>
          <xdr:col>6</xdr:col>
          <xdr:colOff>0</xdr:colOff>
          <xdr:row>10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10</xdr:row>
          <xdr:rowOff>171450</xdr:rowOff>
        </xdr:from>
        <xdr:to>
          <xdr:col>2</xdr:col>
          <xdr:colOff>542925</xdr:colOff>
          <xdr:row>12</xdr:row>
          <xdr:rowOff>28575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12</xdr:row>
          <xdr:rowOff>180975</xdr:rowOff>
        </xdr:from>
        <xdr:to>
          <xdr:col>3</xdr:col>
          <xdr:colOff>171450</xdr:colOff>
          <xdr:row>15</xdr:row>
          <xdr:rowOff>161925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76200</xdr:rowOff>
        </xdr:from>
        <xdr:to>
          <xdr:col>3</xdr:col>
          <xdr:colOff>171450</xdr:colOff>
          <xdr:row>18</xdr:row>
          <xdr:rowOff>114300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95022</xdr:colOff>
      <xdr:row>2</xdr:row>
      <xdr:rowOff>190461</xdr:rowOff>
    </xdr:from>
    <xdr:to>
      <xdr:col>7</xdr:col>
      <xdr:colOff>195186</xdr:colOff>
      <xdr:row>15</xdr:row>
      <xdr:rowOff>9486</xdr:rowOff>
    </xdr:to>
    <xdr:grpSp>
      <xdr:nvGrpSpPr>
        <xdr:cNvPr id="110" name="109 Grupo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GrpSpPr/>
      </xdr:nvGrpSpPr>
      <xdr:grpSpPr>
        <a:xfrm>
          <a:off x="857022" y="571461"/>
          <a:ext cx="4672164" cy="2295525"/>
          <a:chOff x="1504722" y="199986"/>
          <a:chExt cx="4672164" cy="2295525"/>
        </a:xfrm>
      </xdr:grpSpPr>
      <xdr:cxnSp macro="">
        <xdr:nvCxnSpPr>
          <xdr:cNvPr id="76" name="75 Conector recto de flecha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CxnSpPr/>
        </xdr:nvCxnSpPr>
        <xdr:spPr>
          <a:xfrm>
            <a:off x="4576764" y="952502"/>
            <a:ext cx="671511" cy="185736"/>
          </a:xfrm>
          <a:prstGeom prst="straightConnector1">
            <a:avLst/>
          </a:prstGeom>
          <a:ln w="19050">
            <a:headEnd type="oval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9" name="108 Grupo">
            <a:extLst>
              <a:ext uri="{FF2B5EF4-FFF2-40B4-BE49-F238E27FC236}">
                <a16:creationId xmlns:a16="http://schemas.microsoft.com/office/drawing/2014/main" id="{00000000-0008-0000-0200-00006D000000}"/>
              </a:ext>
            </a:extLst>
          </xdr:cNvPr>
          <xdr:cNvGrpSpPr/>
        </xdr:nvGrpSpPr>
        <xdr:grpSpPr>
          <a:xfrm>
            <a:off x="1504722" y="199986"/>
            <a:ext cx="4672164" cy="2295525"/>
            <a:chOff x="1495197" y="199986"/>
            <a:chExt cx="4672164" cy="2295525"/>
          </a:xfrm>
        </xdr:grpSpPr>
        <xdr:cxnSp macro="">
          <xdr:nvCxnSpPr>
            <xdr:cNvPr id="12" name="11 Conector recto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>
              <a:off x="2205038" y="2476500"/>
              <a:ext cx="3128962" cy="1"/>
            </a:xfrm>
            <a:prstGeom prst="line">
              <a:avLst/>
            </a:prstGeom>
            <a:ln>
              <a:headEnd type="oval"/>
              <a:tailEnd type="oval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8" name="107 Grupo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GrpSpPr/>
          </xdr:nvGrpSpPr>
          <xdr:grpSpPr>
            <a:xfrm>
              <a:off x="1495197" y="199986"/>
              <a:ext cx="4672164" cy="2295525"/>
              <a:chOff x="1495197" y="199986"/>
              <a:chExt cx="4672164" cy="2295525"/>
            </a:xfrm>
          </xdr:grpSpPr>
          <xdr:grpSp>
            <xdr:nvGrpSpPr>
              <xdr:cNvPr id="67" name="66 Grupo">
                <a:extLst>
                  <a:ext uri="{FF2B5EF4-FFF2-40B4-BE49-F238E27FC236}">
                    <a16:creationId xmlns:a16="http://schemas.microsoft.com/office/drawing/2014/main" id="{00000000-0008-0000-0200-000043000000}"/>
                  </a:ext>
                </a:extLst>
              </xdr:cNvPr>
              <xdr:cNvGrpSpPr/>
            </xdr:nvGrpSpPr>
            <xdr:grpSpPr>
              <a:xfrm>
                <a:off x="5286280" y="199986"/>
                <a:ext cx="881081" cy="2295525"/>
                <a:chOff x="6043597" y="381000"/>
                <a:chExt cx="881081" cy="2295525"/>
              </a:xfrm>
            </xdr:grpSpPr>
            <xdr:grpSp>
              <xdr:nvGrpSpPr>
                <xdr:cNvPr id="65" name="64 Grupo">
                  <a:extLst>
                    <a:ext uri="{FF2B5EF4-FFF2-40B4-BE49-F238E27FC236}">
                      <a16:creationId xmlns:a16="http://schemas.microsoft.com/office/drawing/2014/main" id="{00000000-0008-0000-0200-000041000000}"/>
                    </a:ext>
                  </a:extLst>
                </xdr:cNvPr>
                <xdr:cNvGrpSpPr/>
              </xdr:nvGrpSpPr>
              <xdr:grpSpPr>
                <a:xfrm>
                  <a:off x="6091238" y="381000"/>
                  <a:ext cx="833440" cy="2295525"/>
                  <a:chOff x="6091238" y="381000"/>
                  <a:chExt cx="833440" cy="2295525"/>
                </a:xfrm>
              </xdr:grpSpPr>
              <xdr:grpSp>
                <xdr:nvGrpSpPr>
                  <xdr:cNvPr id="52" name="51 Grupo">
                    <a:extLst>
                      <a:ext uri="{FF2B5EF4-FFF2-40B4-BE49-F238E27FC236}">
                        <a16:creationId xmlns:a16="http://schemas.microsoft.com/office/drawing/2014/main" id="{00000000-0008-0000-0200-000034000000}"/>
                      </a:ext>
                    </a:extLst>
                  </xdr:cNvPr>
                  <xdr:cNvGrpSpPr/>
                </xdr:nvGrpSpPr>
                <xdr:grpSpPr>
                  <a:xfrm>
                    <a:off x="6786511" y="904862"/>
                    <a:ext cx="138167" cy="490539"/>
                    <a:chOff x="6762696" y="947738"/>
                    <a:chExt cx="200057" cy="538158"/>
                  </a:xfrm>
                </xdr:grpSpPr>
                <xdr:grpSp>
                  <xdr:nvGrpSpPr>
                    <xdr:cNvPr id="46" name="45 Grupo">
                      <a:extLst>
                        <a:ext uri="{FF2B5EF4-FFF2-40B4-BE49-F238E27FC236}">
                          <a16:creationId xmlns:a16="http://schemas.microsoft.com/office/drawing/2014/main" id="{00000000-0008-0000-0200-00002E000000}"/>
                        </a:ext>
                      </a:extLst>
                    </xdr:cNvPr>
                    <xdr:cNvGrpSpPr/>
                  </xdr:nvGrpSpPr>
                  <xdr:grpSpPr>
                    <a:xfrm>
                      <a:off x="6762696" y="947738"/>
                      <a:ext cx="200057" cy="457203"/>
                      <a:chOff x="6862719" y="947738"/>
                      <a:chExt cx="200057" cy="457203"/>
                    </a:xfrm>
                  </xdr:grpSpPr>
                  <xdr:cxnSp macro="">
                    <xdr:nvCxnSpPr>
                      <xdr:cNvPr id="39" name="38 Conector recto">
                        <a:extLst>
                          <a:ext uri="{FF2B5EF4-FFF2-40B4-BE49-F238E27FC236}">
                            <a16:creationId xmlns:a16="http://schemas.microsoft.com/office/drawing/2014/main" id="{00000000-0008-0000-0200-000027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2767" y="9477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2" name="41 Conector recto">
                        <a:extLst>
                          <a:ext uri="{FF2B5EF4-FFF2-40B4-BE49-F238E27FC236}">
                            <a16:creationId xmlns:a16="http://schemas.microsoft.com/office/drawing/2014/main" id="{00000000-0008-0000-0200-00002A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7514" y="11001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3" name="42 Conector recto">
                        <a:extLst>
                          <a:ext uri="{FF2B5EF4-FFF2-40B4-BE49-F238E27FC236}">
                            <a16:creationId xmlns:a16="http://schemas.microsoft.com/office/drawing/2014/main" id="{00000000-0008-0000-0200-00002B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7498" y="12525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5" name="44 Conector recto">
                        <a:extLst>
                          <a:ext uri="{FF2B5EF4-FFF2-40B4-BE49-F238E27FC236}">
                            <a16:creationId xmlns:a16="http://schemas.microsoft.com/office/drawing/2014/main" id="{00000000-0008-0000-0200-00002D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2719" y="14049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grpSp>
                  <xdr:nvGrpSpPr>
                    <xdr:cNvPr id="47" name="46 Grupo">
                      <a:extLst>
                        <a:ext uri="{FF2B5EF4-FFF2-40B4-BE49-F238E27FC236}">
                          <a16:creationId xmlns:a16="http://schemas.microsoft.com/office/drawing/2014/main" id="{00000000-0008-0000-0200-00002F000000}"/>
                        </a:ext>
                      </a:extLst>
                    </xdr:cNvPr>
                    <xdr:cNvGrpSpPr/>
                  </xdr:nvGrpSpPr>
                  <xdr:grpSpPr>
                    <a:xfrm>
                      <a:off x="6824599" y="1028693"/>
                      <a:ext cx="85756" cy="457203"/>
                      <a:chOff x="6862719" y="947738"/>
                      <a:chExt cx="200057" cy="457203"/>
                    </a:xfrm>
                  </xdr:grpSpPr>
                  <xdr:cxnSp macro="">
                    <xdr:nvCxnSpPr>
                      <xdr:cNvPr id="48" name="47 Conector recto">
                        <a:extLst>
                          <a:ext uri="{FF2B5EF4-FFF2-40B4-BE49-F238E27FC236}">
                            <a16:creationId xmlns:a16="http://schemas.microsoft.com/office/drawing/2014/main" id="{00000000-0008-0000-0200-000030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2767" y="9477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9" name="48 Conector recto">
                        <a:extLst>
                          <a:ext uri="{FF2B5EF4-FFF2-40B4-BE49-F238E27FC236}">
                            <a16:creationId xmlns:a16="http://schemas.microsoft.com/office/drawing/2014/main" id="{00000000-0008-0000-0200-000031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7514" y="11001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50" name="49 Conector recto">
                        <a:extLst>
                          <a:ext uri="{FF2B5EF4-FFF2-40B4-BE49-F238E27FC236}">
                            <a16:creationId xmlns:a16="http://schemas.microsoft.com/office/drawing/2014/main" id="{00000000-0008-0000-0200-000032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7498" y="12525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51" name="50 Conector recto">
                        <a:extLst>
                          <a:ext uri="{FF2B5EF4-FFF2-40B4-BE49-F238E27FC236}">
                            <a16:creationId xmlns:a16="http://schemas.microsoft.com/office/drawing/2014/main" id="{00000000-0008-0000-0200-000033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6862719" y="1404938"/>
                        <a:ext cx="195262" cy="3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grpSp>
                <xdr:nvGrpSpPr>
                  <xdr:cNvPr id="64" name="63 Grupo">
                    <a:extLst>
                      <a:ext uri="{FF2B5EF4-FFF2-40B4-BE49-F238E27FC236}">
                        <a16:creationId xmlns:a16="http://schemas.microsoft.com/office/drawing/2014/main" id="{00000000-0008-0000-0200-000040000000}"/>
                      </a:ext>
                    </a:extLst>
                  </xdr:cNvPr>
                  <xdr:cNvGrpSpPr/>
                </xdr:nvGrpSpPr>
                <xdr:grpSpPr>
                  <a:xfrm>
                    <a:off x="6091238" y="381000"/>
                    <a:ext cx="771525" cy="2295525"/>
                    <a:chOff x="6091238" y="381000"/>
                    <a:chExt cx="771525" cy="2295525"/>
                  </a:xfrm>
                </xdr:grpSpPr>
                <xdr:cxnSp macro="">
                  <xdr:nvCxnSpPr>
                    <xdr:cNvPr id="54" name="53 Conector recto">
                      <a:extLst>
                        <a:ext uri="{FF2B5EF4-FFF2-40B4-BE49-F238E27FC236}">
                          <a16:creationId xmlns:a16="http://schemas.microsoft.com/office/drawing/2014/main" id="{00000000-0008-0000-0200-000036000000}"/>
                        </a:ext>
                      </a:extLst>
                    </xdr:cNvPr>
                    <xdr:cNvCxnSpPr/>
                  </xdr:nvCxnSpPr>
                  <xdr:spPr>
                    <a:xfrm>
                      <a:off x="6091238" y="381000"/>
                      <a:ext cx="9525" cy="2290763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57" name="56 Conector recto">
                      <a:extLst>
                        <a:ext uri="{FF2B5EF4-FFF2-40B4-BE49-F238E27FC236}">
                          <a16:creationId xmlns:a16="http://schemas.microsoft.com/office/drawing/2014/main" id="{00000000-0008-0000-0200-000039000000}"/>
                        </a:ext>
                      </a:extLst>
                    </xdr:cNvPr>
                    <xdr:cNvCxnSpPr/>
                  </xdr:nvCxnSpPr>
                  <xdr:spPr>
                    <a:xfrm>
                      <a:off x="6096000" y="381001"/>
                      <a:ext cx="766762" cy="476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59" name="58 Conector recto">
                      <a:extLst>
                        <a:ext uri="{FF2B5EF4-FFF2-40B4-BE49-F238E27FC236}">
                          <a16:creationId xmlns:a16="http://schemas.microsoft.com/office/drawing/2014/main" id="{00000000-0008-0000-0200-00003B000000}"/>
                        </a:ext>
                      </a:extLst>
                    </xdr:cNvPr>
                    <xdr:cNvCxnSpPr/>
                  </xdr:nvCxnSpPr>
                  <xdr:spPr>
                    <a:xfrm>
                      <a:off x="6105524" y="2662238"/>
                      <a:ext cx="742950" cy="14287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1" name="60 Conector recto">
                      <a:extLst>
                        <a:ext uri="{FF2B5EF4-FFF2-40B4-BE49-F238E27FC236}">
                          <a16:creationId xmlns:a16="http://schemas.microsoft.com/office/drawing/2014/main" id="{00000000-0008-0000-0200-00003D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6858000" y="381000"/>
                      <a:ext cx="4763" cy="528638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3" name="62 Conector recto">
                      <a:extLst>
                        <a:ext uri="{FF2B5EF4-FFF2-40B4-BE49-F238E27FC236}">
                          <a16:creationId xmlns:a16="http://schemas.microsoft.com/office/drawing/2014/main" id="{00000000-0008-0000-0200-00003F000000}"/>
                        </a:ext>
                      </a:extLst>
                    </xdr:cNvPr>
                    <xdr:cNvCxnSpPr/>
                  </xdr:nvCxnSpPr>
                  <xdr:spPr>
                    <a:xfrm>
                      <a:off x="6848475" y="1414463"/>
                      <a:ext cx="4763" cy="126206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</xdr:grpSp>
            <xdr:sp macro="" textlink="">
              <xdr:nvSpPr>
                <xdr:cNvPr id="66" name="65 Rectángulo">
                  <a:extLst>
                    <a:ext uri="{FF2B5EF4-FFF2-40B4-BE49-F238E27FC236}">
                      <a16:creationId xmlns:a16="http://schemas.microsoft.com/office/drawing/2014/main" id="{00000000-0008-0000-0200-000042000000}"/>
                    </a:ext>
                  </a:extLst>
                </xdr:cNvPr>
                <xdr:cNvSpPr/>
              </xdr:nvSpPr>
              <xdr:spPr>
                <a:xfrm>
                  <a:off x="6043597" y="490522"/>
                  <a:ext cx="114300" cy="2066925"/>
                </a:xfrm>
                <a:prstGeom prst="rect">
                  <a:avLst/>
                </a:prstGeom>
                <a:solidFill>
                  <a:schemeClr val="bg2">
                    <a:lumMod val="50000"/>
                  </a:schemeClr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s-ES" sz="1100"/>
                </a:p>
              </xdr:txBody>
            </xdr:sp>
          </xdr:grpSp>
          <xdr:grpSp>
            <xdr:nvGrpSpPr>
              <xdr:cNvPr id="107" name="106 Grupo">
                <a:extLst>
                  <a:ext uri="{FF2B5EF4-FFF2-40B4-BE49-F238E27FC236}">
                    <a16:creationId xmlns:a16="http://schemas.microsoft.com/office/drawing/2014/main" id="{00000000-0008-0000-0200-00006B000000}"/>
                  </a:ext>
                </a:extLst>
              </xdr:cNvPr>
              <xdr:cNvGrpSpPr/>
            </xdr:nvGrpSpPr>
            <xdr:grpSpPr>
              <a:xfrm>
                <a:off x="1495197" y="457215"/>
                <a:ext cx="3529198" cy="2033573"/>
                <a:chOff x="1495197" y="457215"/>
                <a:chExt cx="3529198" cy="2033573"/>
              </a:xfrm>
            </xdr:grpSpPr>
            <xdr:grpSp>
              <xdr:nvGrpSpPr>
                <xdr:cNvPr id="8" name="7 Grupo">
                  <a:extLst>
                    <a:ext uri="{FF2B5EF4-FFF2-40B4-BE49-F238E27FC236}">
                      <a16:creationId xmlns:a16="http://schemas.microsoft.com/office/drawing/2014/main" id="{00000000-0008-0000-0200-000008000000}"/>
                    </a:ext>
                  </a:extLst>
                </xdr:cNvPr>
                <xdr:cNvGrpSpPr/>
              </xdr:nvGrpSpPr>
              <xdr:grpSpPr>
                <a:xfrm rot="1200000">
                  <a:off x="1495197" y="591713"/>
                  <a:ext cx="988694" cy="1861210"/>
                  <a:chOff x="1104900" y="485775"/>
                  <a:chExt cx="988694" cy="1695450"/>
                </a:xfrm>
              </xdr:grpSpPr>
              <xdr:sp macro="" textlink="">
                <xdr:nvSpPr>
                  <xdr:cNvPr id="3" name="2 Rectángulo redondeado">
                    <a:extLst>
                      <a:ext uri="{FF2B5EF4-FFF2-40B4-BE49-F238E27FC236}">
                        <a16:creationId xmlns:a16="http://schemas.microsoft.com/office/drawing/2014/main" id="{00000000-0008-0000-0200-000003000000}"/>
                      </a:ext>
                    </a:extLst>
                  </xdr:cNvPr>
                  <xdr:cNvSpPr/>
                </xdr:nvSpPr>
                <xdr:spPr>
                  <a:xfrm>
                    <a:off x="2047875" y="485775"/>
                    <a:ext cx="45719" cy="1695450"/>
                  </a:xfrm>
                  <a:prstGeom prst="roundRect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s-ES" sz="1100"/>
                  </a:p>
                </xdr:txBody>
              </xdr:sp>
              <xdr:grpSp>
                <xdr:nvGrpSpPr>
                  <xdr:cNvPr id="7" name="6 Grupo">
                    <a:extLst>
                      <a:ext uri="{FF2B5EF4-FFF2-40B4-BE49-F238E27FC236}">
                        <a16:creationId xmlns:a16="http://schemas.microsoft.com/office/drawing/2014/main" id="{00000000-0008-0000-0200-000007000000}"/>
                      </a:ext>
                    </a:extLst>
                  </xdr:cNvPr>
                  <xdr:cNvGrpSpPr/>
                </xdr:nvGrpSpPr>
                <xdr:grpSpPr>
                  <a:xfrm>
                    <a:off x="1104900" y="714375"/>
                    <a:ext cx="838200" cy="1228725"/>
                    <a:chOff x="1104900" y="714375"/>
                    <a:chExt cx="838200" cy="1228725"/>
                  </a:xfrm>
                </xdr:grpSpPr>
                <xdr:sp macro="" textlink="">
                  <xdr:nvSpPr>
                    <xdr:cNvPr id="4" name="3 Flecha derecha">
                      <a:extLst>
                        <a:ext uri="{FF2B5EF4-FFF2-40B4-BE49-F238E27FC236}">
                          <a16:creationId xmlns:a16="http://schemas.microsoft.com/office/drawing/2014/main" id="{00000000-0008-0000-0200-000004000000}"/>
                        </a:ext>
                      </a:extLst>
                    </xdr:cNvPr>
                    <xdr:cNvSpPr/>
                  </xdr:nvSpPr>
                  <xdr:spPr>
                    <a:xfrm>
                      <a:off x="1114425" y="714375"/>
                      <a:ext cx="828675" cy="76200"/>
                    </a:xfrm>
                    <a:prstGeom prst="rightArrow">
                      <a:avLst/>
                    </a:prstGeom>
                    <a:solidFill>
                      <a:srgbClr val="FFC000"/>
                    </a:solidFill>
                    <a:ln w="0">
                      <a:solidFill>
                        <a:schemeClr val="accent6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s-ES" sz="1100"/>
                    </a:p>
                  </xdr:txBody>
                </xdr:sp>
                <xdr:sp macro="" textlink="">
                  <xdr:nvSpPr>
                    <xdr:cNvPr id="5" name="4 Flecha derecha">
                      <a:extLst>
                        <a:ext uri="{FF2B5EF4-FFF2-40B4-BE49-F238E27FC236}">
                          <a16:creationId xmlns:a16="http://schemas.microsoft.com/office/drawing/2014/main" id="{00000000-0008-0000-0200-000005000000}"/>
                        </a:ext>
                      </a:extLst>
                    </xdr:cNvPr>
                    <xdr:cNvSpPr/>
                  </xdr:nvSpPr>
                  <xdr:spPr>
                    <a:xfrm>
                      <a:off x="1104900" y="1295400"/>
                      <a:ext cx="828675" cy="76200"/>
                    </a:xfrm>
                    <a:prstGeom prst="rightArrow">
                      <a:avLst/>
                    </a:prstGeom>
                    <a:solidFill>
                      <a:srgbClr val="FFC000"/>
                    </a:solidFill>
                    <a:ln w="0">
                      <a:solidFill>
                        <a:schemeClr val="accent6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s-ES" sz="1100"/>
                    </a:p>
                  </xdr:txBody>
                </xdr:sp>
                <xdr:sp macro="" textlink="">
                  <xdr:nvSpPr>
                    <xdr:cNvPr id="6" name="5 Flecha derecha">
                      <a:extLst>
                        <a:ext uri="{FF2B5EF4-FFF2-40B4-BE49-F238E27FC236}">
                          <a16:creationId xmlns:a16="http://schemas.microsoft.com/office/drawing/2014/main" id="{00000000-0008-0000-0200-000006000000}"/>
                        </a:ext>
                      </a:extLst>
                    </xdr:cNvPr>
                    <xdr:cNvSpPr/>
                  </xdr:nvSpPr>
                  <xdr:spPr>
                    <a:xfrm>
                      <a:off x="1104900" y="1866900"/>
                      <a:ext cx="828675" cy="76200"/>
                    </a:xfrm>
                    <a:prstGeom prst="rightArrow">
                      <a:avLst/>
                    </a:prstGeom>
                    <a:solidFill>
                      <a:srgbClr val="FFC000"/>
                    </a:solidFill>
                    <a:ln w="0">
                      <a:solidFill>
                        <a:schemeClr val="accent6">
                          <a:lumMod val="50000"/>
                        </a:schemeClr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s-ES" sz="1100"/>
                    </a:p>
                  </xdr:txBody>
                </xdr:sp>
              </xdr:grpSp>
            </xdr:grpSp>
            <xdr:grpSp>
              <xdr:nvGrpSpPr>
                <xdr:cNvPr id="106" name="105 Grupo">
                  <a:extLst>
                    <a:ext uri="{FF2B5EF4-FFF2-40B4-BE49-F238E27FC236}">
                      <a16:creationId xmlns:a16="http://schemas.microsoft.com/office/drawing/2014/main" id="{00000000-0008-0000-0200-00006A000000}"/>
                    </a:ext>
                  </a:extLst>
                </xdr:cNvPr>
                <xdr:cNvGrpSpPr/>
              </xdr:nvGrpSpPr>
              <xdr:grpSpPr>
                <a:xfrm>
                  <a:off x="2728913" y="457215"/>
                  <a:ext cx="2295482" cy="2033573"/>
                  <a:chOff x="2728913" y="457215"/>
                  <a:chExt cx="2295482" cy="2033573"/>
                </a:xfrm>
              </xdr:grpSpPr>
              <xdr:grpSp>
                <xdr:nvGrpSpPr>
                  <xdr:cNvPr id="91" name="90 Grupo">
                    <a:extLst>
                      <a:ext uri="{FF2B5EF4-FFF2-40B4-BE49-F238E27FC236}">
                        <a16:creationId xmlns:a16="http://schemas.microsoft.com/office/drawing/2014/main" id="{00000000-0008-0000-0200-00005B000000}"/>
                      </a:ext>
                    </a:extLst>
                  </xdr:cNvPr>
                  <xdr:cNvGrpSpPr/>
                </xdr:nvGrpSpPr>
                <xdr:grpSpPr>
                  <a:xfrm>
                    <a:off x="4124395" y="947738"/>
                    <a:ext cx="900000" cy="1543050"/>
                    <a:chOff x="4124395" y="757238"/>
                    <a:chExt cx="900000" cy="1543050"/>
                  </a:xfrm>
                </xdr:grpSpPr>
                <xdr:cxnSp macro="">
                  <xdr:nvCxnSpPr>
                    <xdr:cNvPr id="10" name="9 Conector recto">
                      <a:extLst>
                        <a:ext uri="{FF2B5EF4-FFF2-40B4-BE49-F238E27FC236}">
                          <a16:creationId xmlns:a16="http://schemas.microsoft.com/office/drawing/2014/main" id="{00000000-0008-0000-0200-00000A000000}"/>
                        </a:ext>
                      </a:extLst>
                    </xdr:cNvPr>
                    <xdr:cNvCxnSpPr/>
                  </xdr:nvCxnSpPr>
                  <xdr:spPr>
                    <a:xfrm>
                      <a:off x="4257568" y="759531"/>
                      <a:ext cx="314399" cy="2489"/>
                    </a:xfrm>
                    <a:prstGeom prst="line">
                      <a:avLst/>
                    </a:prstGeom>
                    <a:ln>
                      <a:headEnd type="none"/>
                      <a:tailEnd type="none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84" name="83 Grupo">
                      <a:extLst>
                        <a:ext uri="{FF2B5EF4-FFF2-40B4-BE49-F238E27FC236}">
                          <a16:creationId xmlns:a16="http://schemas.microsoft.com/office/drawing/2014/main" id="{00000000-0008-0000-0200-000054000000}"/>
                        </a:ext>
                      </a:extLst>
                    </xdr:cNvPr>
                    <xdr:cNvGrpSpPr/>
                  </xdr:nvGrpSpPr>
                  <xdr:grpSpPr>
                    <a:xfrm>
                      <a:off x="4124395" y="757238"/>
                      <a:ext cx="900000" cy="1543050"/>
                      <a:chOff x="4124395" y="1376428"/>
                      <a:chExt cx="900000" cy="1543050"/>
                    </a:xfrm>
                  </xdr:grpSpPr>
                  <xdr:cxnSp macro="">
                    <xdr:nvCxnSpPr>
                      <xdr:cNvPr id="71" name="70 Conector recto">
                        <a:extLst>
                          <a:ext uri="{FF2B5EF4-FFF2-40B4-BE49-F238E27FC236}">
                            <a16:creationId xmlns:a16="http://schemas.microsoft.com/office/drawing/2014/main" id="{00000000-0008-0000-0200-000047000000}"/>
                          </a:ext>
                        </a:extLst>
                      </xdr:cNvPr>
                      <xdr:cNvCxnSpPr>
                        <a:endCxn id="14" idx="0"/>
                      </xdr:cNvCxnSpPr>
                    </xdr:nvCxnSpPr>
                    <xdr:spPr>
                      <a:xfrm>
                        <a:off x="4572072" y="1376428"/>
                        <a:ext cx="2323" cy="342918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73" name="72 Conector recto">
                        <a:extLst>
                          <a:ext uri="{FF2B5EF4-FFF2-40B4-BE49-F238E27FC236}">
                            <a16:creationId xmlns:a16="http://schemas.microsoft.com/office/drawing/2014/main" id="{00000000-0008-0000-0200-000049000000}"/>
                          </a:ext>
                        </a:extLst>
                      </xdr:cNvPr>
                      <xdr:cNvCxnSpPr>
                        <a:stCxn id="14" idx="4"/>
                      </xdr:cNvCxnSpPr>
                    </xdr:nvCxnSpPr>
                    <xdr:spPr>
                      <a:xfrm>
                        <a:off x="4574395" y="2619346"/>
                        <a:ext cx="2440" cy="300132"/>
                      </a:xfrm>
                      <a:prstGeom prst="line">
                        <a:avLst/>
                      </a:prstGeom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83" name="82 Grupo">
                        <a:extLst>
                          <a:ext uri="{FF2B5EF4-FFF2-40B4-BE49-F238E27FC236}">
                            <a16:creationId xmlns:a16="http://schemas.microsoft.com/office/drawing/2014/main" id="{00000000-0008-0000-0200-000053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124395" y="1719346"/>
                        <a:ext cx="900000" cy="900000"/>
                        <a:chOff x="4124395" y="1719346"/>
                        <a:chExt cx="900000" cy="900000"/>
                      </a:xfrm>
                    </xdr:grpSpPr>
                    <xdr:sp macro="" textlink="">
                      <xdr:nvSpPr>
                        <xdr:cNvPr id="14" name="13 Elipse">
                          <a:extLst>
                            <a:ext uri="{FF2B5EF4-FFF2-40B4-BE49-F238E27FC236}">
                              <a16:creationId xmlns:a16="http://schemas.microsoft.com/office/drawing/2014/main" id="{00000000-0008-0000-0200-00000E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124395" y="1719346"/>
                          <a:ext cx="900000" cy="900000"/>
                        </a:xfrm>
                        <a:prstGeom prst="ellipse">
                          <a:avLst/>
                        </a:prstGeom>
                        <a:solidFill>
                          <a:schemeClr val="accent1">
                            <a:alpha val="0"/>
                          </a:schemeClr>
                        </a:solidFill>
                        <a:ln w="6350"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rtlCol="0" anchor="ctr"/>
                        <a:lstStyle/>
                        <a:p>
                          <a:pPr algn="ctr"/>
                          <a:endParaRPr lang="es-ES" sz="1100"/>
                        </a:p>
                      </xdr:txBody>
                    </xdr:sp>
                    <xdr:grpSp>
                      <xdr:nvGrpSpPr>
                        <xdr:cNvPr id="82" name="81 Grupo">
                          <a:extLst>
                            <a:ext uri="{FF2B5EF4-FFF2-40B4-BE49-F238E27FC236}">
                              <a16:creationId xmlns:a16="http://schemas.microsoft.com/office/drawing/2014/main" id="{00000000-0008-0000-0200-000052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18079" y="1766982"/>
                          <a:ext cx="425419" cy="695296"/>
                          <a:chOff x="4527605" y="1171607"/>
                          <a:chExt cx="425419" cy="695296"/>
                        </a:xfrm>
                      </xdr:grpSpPr>
                      <xdr:sp macro="" textlink="">
                        <xdr:nvSpPr>
                          <xdr:cNvPr id="19" name="18 CuadroTexto">
                            <a:extLst>
                              <a:ext uri="{FF2B5EF4-FFF2-40B4-BE49-F238E27FC236}">
                                <a16:creationId xmlns:a16="http://schemas.microsoft.com/office/drawing/2014/main" id="{00000000-0008-0000-0200-000013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662582" y="1171607"/>
                            <a:ext cx="290442" cy="266700"/>
                          </a:xfrm>
                          <a:prstGeom prst="rect">
                            <a:avLst/>
                          </a:prstGeom>
                          <a:solidFill>
                            <a:schemeClr val="lt1">
                              <a:alpha val="0"/>
                            </a:schemeClr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wrap="square" rtlCol="0" anchor="t"/>
                          <a:lstStyle/>
                          <a:p>
                            <a:r>
                              <a:rPr lang="es-ES" sz="1100" i="1">
                                <a:latin typeface="Times New Roman" pitchFamily="18" charset="0"/>
                                <a:cs typeface="Times New Roman" pitchFamily="18" charset="0"/>
                              </a:rPr>
                              <a:t>V</a:t>
                            </a:r>
                          </a:p>
                          <a:p>
                            <a:r>
                              <a:rPr lang="es-ES" sz="1100" i="1">
                                <a:latin typeface="Times New Roman" pitchFamily="18" charset="0"/>
                                <a:cs typeface="Times New Roman" pitchFamily="18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80" name="79 Flecha arriba">
                            <a:extLst>
                              <a:ext uri="{FF2B5EF4-FFF2-40B4-BE49-F238E27FC236}">
                                <a16:creationId xmlns:a16="http://schemas.microsoft.com/office/drawing/2014/main" id="{00000000-0008-0000-0200-000050000000}"/>
                              </a:ext>
                            </a:extLst>
                          </xdr:cNvPr>
                          <xdr:cNvSpPr/>
                        </xdr:nvSpPr>
                        <xdr:spPr>
                          <a:xfrm rot="1800000">
                            <a:off x="4527605" y="1279528"/>
                            <a:ext cx="76198" cy="587375"/>
                          </a:xfrm>
                          <a:prstGeom prst="upArrow">
                            <a:avLst/>
                          </a:prstGeom>
                          <a:solidFill>
                            <a:schemeClr val="tx1"/>
                          </a:solidFill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vertOverflow="clip" rtlCol="0" anchor="ctr"/>
                          <a:lstStyle/>
                          <a:p>
                            <a:pPr algn="ctr"/>
                            <a:endParaRPr lang="es-ES" sz="1100"/>
                          </a:p>
                        </xdr:txBody>
                      </xdr:sp>
                    </xdr:grpSp>
                  </xdr:grpSp>
                </xdr:grpSp>
              </xdr:grpSp>
              <xdr:grpSp>
                <xdr:nvGrpSpPr>
                  <xdr:cNvPr id="105" name="104 Grupo">
                    <a:extLst>
                      <a:ext uri="{FF2B5EF4-FFF2-40B4-BE49-F238E27FC236}">
                        <a16:creationId xmlns:a16="http://schemas.microsoft.com/office/drawing/2014/main" id="{00000000-0008-0000-0200-000069000000}"/>
                      </a:ext>
                    </a:extLst>
                  </xdr:cNvPr>
                  <xdr:cNvGrpSpPr/>
                </xdr:nvGrpSpPr>
                <xdr:grpSpPr>
                  <a:xfrm>
                    <a:off x="3371856" y="457215"/>
                    <a:ext cx="900000" cy="938054"/>
                    <a:chOff x="3371856" y="457215"/>
                    <a:chExt cx="900000" cy="938054"/>
                  </a:xfrm>
                </xdr:grpSpPr>
                <xdr:sp macro="" textlink="">
                  <xdr:nvSpPr>
                    <xdr:cNvPr id="78" name="77 Elipse">
                      <a:extLst>
                        <a:ext uri="{FF2B5EF4-FFF2-40B4-BE49-F238E27FC236}">
                          <a16:creationId xmlns:a16="http://schemas.microsoft.com/office/drawing/2014/main" id="{00000000-0008-0000-0200-00004E000000}"/>
                        </a:ext>
                      </a:extLst>
                    </xdr:cNvPr>
                    <xdr:cNvSpPr/>
                  </xdr:nvSpPr>
                  <xdr:spPr>
                    <a:xfrm>
                      <a:off x="3371856" y="495269"/>
                      <a:ext cx="900000" cy="900000"/>
                    </a:xfrm>
                    <a:prstGeom prst="ellipse">
                      <a:avLst/>
                    </a:prstGeom>
                    <a:solidFill>
                      <a:schemeClr val="accent1">
                        <a:alpha val="0"/>
                      </a:schemeClr>
                    </a:solidFill>
                    <a:ln w="6350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s-ES" sz="1100"/>
                    </a:p>
                  </xdr:txBody>
                </xdr:sp>
                <xdr:grpSp>
                  <xdr:nvGrpSpPr>
                    <xdr:cNvPr id="104" name="103 Grupo">
                      <a:extLst>
                        <a:ext uri="{FF2B5EF4-FFF2-40B4-BE49-F238E27FC236}">
                          <a16:creationId xmlns:a16="http://schemas.microsoft.com/office/drawing/2014/main" id="{00000000-0008-0000-0200-000068000000}"/>
                        </a:ext>
                      </a:extLst>
                    </xdr:cNvPr>
                    <xdr:cNvGrpSpPr/>
                  </xdr:nvGrpSpPr>
                  <xdr:grpSpPr>
                    <a:xfrm>
                      <a:off x="3533766" y="457215"/>
                      <a:ext cx="604831" cy="809543"/>
                      <a:chOff x="3533766" y="457215"/>
                      <a:chExt cx="604831" cy="809543"/>
                    </a:xfrm>
                  </xdr:grpSpPr>
                  <xdr:grpSp>
                    <xdr:nvGrpSpPr>
                      <xdr:cNvPr id="103" name="102 Grupo">
                        <a:extLst>
                          <a:ext uri="{FF2B5EF4-FFF2-40B4-BE49-F238E27FC236}">
                            <a16:creationId xmlns:a16="http://schemas.microsoft.com/office/drawing/2014/main" id="{00000000-0008-0000-0200-000067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3533766" y="679383"/>
                        <a:ext cx="587375" cy="587375"/>
                        <a:chOff x="3533766" y="679383"/>
                        <a:chExt cx="587375" cy="587375"/>
                      </a:xfrm>
                    </xdr:grpSpPr>
                    <xdr:sp macro="" textlink="">
                      <xdr:nvSpPr>
                        <xdr:cNvPr id="17" name="16 Flecha arriba">
                          <a:extLst>
                            <a:ext uri="{FF2B5EF4-FFF2-40B4-BE49-F238E27FC236}">
                              <a16:creationId xmlns:a16="http://schemas.microsoft.com/office/drawing/2014/main" id="{00000000-0008-0000-0200-000011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3779830" y="679383"/>
                          <a:ext cx="76198" cy="587375"/>
                        </a:xfrm>
                        <a:prstGeom prst="upArrow">
                          <a:avLst/>
                        </a:prstGeom>
                        <a:solidFill>
                          <a:schemeClr val="tx1"/>
                        </a:solidFill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rtlCol="0" anchor="ctr"/>
                        <a:lstStyle/>
                        <a:p>
                          <a:pPr algn="ctr"/>
                          <a:endParaRPr lang="es-ES" sz="1100"/>
                        </a:p>
                      </xdr:txBody>
                    </xdr:sp>
                    <xdr:sp macro="" textlink="">
                      <xdr:nvSpPr>
                        <xdr:cNvPr id="20" name="19 Flecha arriba">
                          <a:extLst>
                            <a:ext uri="{FF2B5EF4-FFF2-40B4-BE49-F238E27FC236}">
                              <a16:creationId xmlns:a16="http://schemas.microsoft.com/office/drawing/2014/main" id="{00000000-0008-0000-0200-000014000000}"/>
                            </a:ext>
                          </a:extLst>
                        </xdr:cNvPr>
                        <xdr:cNvSpPr/>
                      </xdr:nvSpPr>
                      <xdr:spPr>
                        <a:xfrm rot="2700000">
                          <a:off x="3789355" y="669858"/>
                          <a:ext cx="76198" cy="587375"/>
                        </a:xfrm>
                        <a:prstGeom prst="upArrow">
                          <a:avLst/>
                        </a:prstGeom>
                        <a:solidFill>
                          <a:schemeClr val="tx1">
                            <a:alpha val="0"/>
                          </a:schemeClr>
                        </a:solidFill>
                        <a:ln w="12700">
                          <a:prstDash val="solid"/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rtlCol="0" anchor="ctr"/>
                        <a:lstStyle/>
                        <a:p>
                          <a:pPr algn="ctr"/>
                          <a:endParaRPr lang="es-ES" sz="1100"/>
                        </a:p>
                      </xdr:txBody>
                    </xdr:sp>
                  </xdr:grpSp>
                  <xdr:sp macro="" textlink="">
                    <xdr:nvSpPr>
                      <xdr:cNvPr id="85" name="84 CuadroTexto">
                        <a:extLst>
                          <a:ext uri="{FF2B5EF4-FFF2-40B4-BE49-F238E27FC236}">
                            <a16:creationId xmlns:a16="http://schemas.microsoft.com/office/drawing/2014/main" id="{00000000-0008-0000-0200-000055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686159" y="457215"/>
                        <a:ext cx="452438" cy="276225"/>
                      </a:xfrm>
                      <a:prstGeom prst="rect">
                        <a:avLst/>
                      </a:prstGeom>
                      <a:solidFill>
                        <a:schemeClr val="lt1">
                          <a:alpha val="1000"/>
                        </a:schemeClr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wrap="square" rtlCol="0" anchor="t"/>
                      <a:lstStyle/>
                      <a:p>
                        <a:r>
                          <a:rPr lang="es-ES" sz="1100" i="1">
                            <a:latin typeface="Times New Roman" pitchFamily="18" charset="0"/>
                            <a:cs typeface="Times New Roman" pitchFamily="18" charset="0"/>
                          </a:rPr>
                          <a:t>0 A</a:t>
                        </a:r>
                      </a:p>
                    </xdr:txBody>
                  </xdr:sp>
                </xdr:grpSp>
              </xdr:grpSp>
              <xdr:cxnSp macro="">
                <xdr:nvCxnSpPr>
                  <xdr:cNvPr id="93" name="92 Conector recto">
                    <a:extLst>
                      <a:ext uri="{FF2B5EF4-FFF2-40B4-BE49-F238E27FC236}">
                        <a16:creationId xmlns:a16="http://schemas.microsoft.com/office/drawing/2014/main" id="{00000000-0008-0000-0200-00005D000000}"/>
                      </a:ext>
                    </a:extLst>
                  </xdr:cNvPr>
                  <xdr:cNvCxnSpPr/>
                </xdr:nvCxnSpPr>
                <xdr:spPr>
                  <a:xfrm>
                    <a:off x="2728913" y="947738"/>
                    <a:ext cx="628655" cy="2290"/>
                  </a:xfrm>
                  <a:prstGeom prst="line">
                    <a:avLst/>
                  </a:prstGeom>
                  <a:ln>
                    <a:headEnd type="oval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</xdr:grpSp>
      </xdr:grpSp>
    </xdr:grpSp>
    <xdr:clientData/>
  </xdr:twoCellAnchor>
  <xdr:twoCellAnchor>
    <xdr:from>
      <xdr:col>14</xdr:col>
      <xdr:colOff>142876</xdr:colOff>
      <xdr:row>24</xdr:row>
      <xdr:rowOff>179294</xdr:rowOff>
    </xdr:from>
    <xdr:to>
      <xdr:col>21</xdr:col>
      <xdr:colOff>76200</xdr:colOff>
      <xdr:row>44</xdr:row>
      <xdr:rowOff>74519</xdr:rowOff>
    </xdr:to>
    <xdr:graphicFrame macro="">
      <xdr:nvGraphicFramePr>
        <xdr:cNvPr id="56" name="55 Gráfic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704850</xdr:colOff>
          <xdr:row>5</xdr:row>
          <xdr:rowOff>133350</xdr:rowOff>
        </xdr:from>
        <xdr:to>
          <xdr:col>17</xdr:col>
          <xdr:colOff>114300</xdr:colOff>
          <xdr:row>7</xdr:row>
          <xdr:rowOff>180975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</xdr:row>
          <xdr:rowOff>152400</xdr:rowOff>
        </xdr:from>
        <xdr:to>
          <xdr:col>16</xdr:col>
          <xdr:colOff>619125</xdr:colOff>
          <xdr:row>3</xdr:row>
          <xdr:rowOff>180975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723900</xdr:colOff>
          <xdr:row>0</xdr:row>
          <xdr:rowOff>76200</xdr:rowOff>
        </xdr:from>
        <xdr:to>
          <xdr:col>14</xdr:col>
          <xdr:colOff>0</xdr:colOff>
          <xdr:row>2</xdr:row>
          <xdr:rowOff>142875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590549</xdr:colOff>
      <xdr:row>47</xdr:row>
      <xdr:rowOff>161925</xdr:rowOff>
    </xdr:from>
    <xdr:to>
      <xdr:col>30</xdr:col>
      <xdr:colOff>485774</xdr:colOff>
      <xdr:row>75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17</xdr:row>
          <xdr:rowOff>19050</xdr:rowOff>
        </xdr:from>
        <xdr:to>
          <xdr:col>13</xdr:col>
          <xdr:colOff>704850</xdr:colOff>
          <xdr:row>19</xdr:row>
          <xdr:rowOff>171450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</xdr:row>
      <xdr:rowOff>0</xdr:rowOff>
    </xdr:from>
    <xdr:to>
      <xdr:col>12</xdr:col>
      <xdr:colOff>552450</xdr:colOff>
      <xdr:row>23</xdr:row>
      <xdr:rowOff>0</xdr:rowOff>
    </xdr:to>
    <xdr:grpSp>
      <xdr:nvGrpSpPr>
        <xdr:cNvPr id="35" name="34 Grupo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/>
      </xdr:nvGrpSpPr>
      <xdr:grpSpPr>
        <a:xfrm>
          <a:off x="5505450" y="190500"/>
          <a:ext cx="4191000" cy="4191000"/>
          <a:chOff x="5505450" y="190500"/>
          <a:chExt cx="4191000" cy="4191000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5505450" y="190500"/>
            <a:ext cx="4191000" cy="4191000"/>
            <a:chOff x="5505450" y="190500"/>
            <a:chExt cx="4191000" cy="4191000"/>
          </a:xfrm>
        </xdr:grpSpPr>
        <xdr:cxnSp macro="">
          <xdr:nvCxnSpPr>
            <xdr:cNvPr id="4" name="3 Conector recto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CxnSpPr/>
          </xdr:nvCxnSpPr>
          <xdr:spPr>
            <a:xfrm>
              <a:off x="7620000" y="190500"/>
              <a:ext cx="0" cy="4191000"/>
            </a:xfrm>
            <a:prstGeom prst="line">
              <a:avLst/>
            </a:prstGeom>
            <a:ln>
              <a:prstDash val="lg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CxnSpPr/>
          </xdr:nvCxnSpPr>
          <xdr:spPr>
            <a:xfrm rot="5400000">
              <a:off x="7600950" y="190500"/>
              <a:ext cx="0" cy="4191000"/>
            </a:xfrm>
            <a:prstGeom prst="line">
              <a:avLst/>
            </a:prstGeom>
            <a:ln>
              <a:prstDash val="lg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4" name="33 Grupo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GrpSpPr/>
        </xdr:nvGrpSpPr>
        <xdr:grpSpPr>
          <a:xfrm>
            <a:off x="5991223" y="666750"/>
            <a:ext cx="3249527" cy="3240000"/>
            <a:chOff x="5991223" y="666750"/>
            <a:chExt cx="3249527" cy="3240000"/>
          </a:xfrm>
        </xdr:grpSpPr>
        <xdr:sp macro="" textlink="">
          <xdr:nvSpPr>
            <xdr:cNvPr id="2" name="1 Elipse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/>
          </xdr:nvSpPr>
          <xdr:spPr>
            <a:xfrm>
              <a:off x="5991223" y="666750"/>
              <a:ext cx="3240000" cy="3240000"/>
            </a:xfrm>
            <a:prstGeom prst="ellipse">
              <a:avLst/>
            </a:prstGeom>
            <a:solidFill>
              <a:schemeClr val="accent1">
                <a:alpha val="0"/>
              </a:schemeClr>
            </a:solidFill>
            <a:ln w="0">
              <a:solidFill>
                <a:schemeClr val="tx1"/>
              </a:solidFill>
              <a:prstDash val="lgDash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8" name="7 Elipse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>
            <a:xfrm>
              <a:off x="6000750" y="1781175"/>
              <a:ext cx="3240000" cy="1009650"/>
            </a:xfrm>
            <a:prstGeom prst="ellipse">
              <a:avLst/>
            </a:prstGeom>
            <a:solidFill>
              <a:schemeClr val="accent1">
                <a:alpha val="0"/>
              </a:schemeClr>
            </a:solidFill>
            <a:ln w="0">
              <a:solidFill>
                <a:schemeClr val="tx1"/>
              </a:solidFill>
              <a:prstDash val="lgDash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s-ES" sz="1100"/>
            </a:p>
          </xdr:txBody>
        </xdr:sp>
      </xdr:grpSp>
    </xdr:grpSp>
    <xdr:clientData/>
  </xdr:twoCellAnchor>
  <xdr:twoCellAnchor>
    <xdr:from>
      <xdr:col>8</xdr:col>
      <xdr:colOff>180975</xdr:colOff>
      <xdr:row>3</xdr:row>
      <xdr:rowOff>94500</xdr:rowOff>
    </xdr:from>
    <xdr:to>
      <xdr:col>11</xdr:col>
      <xdr:colOff>466725</xdr:colOff>
      <xdr:row>20</xdr:row>
      <xdr:rowOff>96750</xdr:rowOff>
    </xdr:to>
    <xdr:grpSp>
      <xdr:nvGrpSpPr>
        <xdr:cNvPr id="36" name="35 Grupo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pSpPr/>
      </xdr:nvGrpSpPr>
      <xdr:grpSpPr>
        <a:xfrm>
          <a:off x="6276975" y="666000"/>
          <a:ext cx="2571750" cy="3240750"/>
          <a:chOff x="6276975" y="666000"/>
          <a:chExt cx="2571750" cy="3240750"/>
        </a:xfrm>
      </xdr:grpSpPr>
      <xdr:grpSp>
        <xdr:nvGrpSpPr>
          <xdr:cNvPr id="33" name="32 Grupo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GrpSpPr/>
        </xdr:nvGrpSpPr>
        <xdr:grpSpPr>
          <a:xfrm>
            <a:off x="6276975" y="666750"/>
            <a:ext cx="2247900" cy="3240000"/>
            <a:chOff x="6276975" y="666750"/>
            <a:chExt cx="2247900" cy="3240000"/>
          </a:xfrm>
        </xdr:grpSpPr>
        <xdr:sp macro="" textlink="">
          <xdr:nvSpPr>
            <xdr:cNvPr id="17" name="16 Elipse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/>
          </xdr:nvSpPr>
          <xdr:spPr>
            <a:xfrm>
              <a:off x="6734175" y="666750"/>
              <a:ext cx="1790700" cy="3240000"/>
            </a:xfrm>
            <a:prstGeom prst="ellipse">
              <a:avLst/>
            </a:prstGeom>
            <a:solidFill>
              <a:schemeClr val="accent1">
                <a:lumMod val="20000"/>
                <a:lumOff val="80000"/>
                <a:alpha val="25000"/>
              </a:schemeClr>
            </a:solidFill>
            <a:ln w="0">
              <a:solidFill>
                <a:schemeClr val="tx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s-ES" sz="1100"/>
            </a:p>
          </xdr:txBody>
        </xdr:sp>
        <xdr:cxnSp macro="">
          <xdr:nvCxnSpPr>
            <xdr:cNvPr id="22" name="21 Conector recto de flecha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CxnSpPr/>
          </xdr:nvCxnSpPr>
          <xdr:spPr>
            <a:xfrm flipH="1" flipV="1">
              <a:off x="6781800" y="1743075"/>
              <a:ext cx="838200" cy="542925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25 Conector recto de flecha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CxnSpPr/>
          </xdr:nvCxnSpPr>
          <xdr:spPr>
            <a:xfrm flipH="1">
              <a:off x="6276975" y="2295525"/>
              <a:ext cx="1352550" cy="647700"/>
            </a:xfrm>
            <a:prstGeom prst="straightConnector1">
              <a:avLst/>
            </a:prstGeom>
            <a:ln>
              <a:prstDash val="lgDashDot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" name="31 Grupo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GrpSpPr/>
        </xdr:nvGrpSpPr>
        <xdr:grpSpPr>
          <a:xfrm>
            <a:off x="7106400" y="666000"/>
            <a:ext cx="1742325" cy="3240000"/>
            <a:chOff x="7115925" y="666000"/>
            <a:chExt cx="1742325" cy="3240000"/>
          </a:xfrm>
        </xdr:grpSpPr>
        <xdr:sp macro="" textlink="">
          <xdr:nvSpPr>
            <xdr:cNvPr id="9" name="8 Elipse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/>
          </xdr:nvSpPr>
          <xdr:spPr>
            <a:xfrm rot="5400000">
              <a:off x="6000750" y="1781175"/>
              <a:ext cx="3240000" cy="1009650"/>
            </a:xfrm>
            <a:prstGeom prst="ellipse">
              <a:avLst/>
            </a:prstGeom>
            <a:solidFill>
              <a:schemeClr val="accent2">
                <a:lumMod val="20000"/>
                <a:lumOff val="80000"/>
                <a:alpha val="25000"/>
              </a:schemeClr>
            </a:solidFill>
            <a:ln w="0"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s-ES" sz="1100"/>
            </a:p>
          </xdr:txBody>
        </xdr:sp>
        <xdr:cxnSp macro="">
          <xdr:nvCxnSpPr>
            <xdr:cNvPr id="24" name="23 Conector recto de flecha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CxnSpPr/>
          </xdr:nvCxnSpPr>
          <xdr:spPr>
            <a:xfrm flipV="1">
              <a:off x="7629525" y="1171575"/>
              <a:ext cx="342900" cy="110490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27 Conector recto de flecha">
              <a:extLst>
                <a:ext uri="{FF2B5EF4-FFF2-40B4-BE49-F238E27FC236}">
                  <a16:creationId xmlns:a16="http://schemas.microsoft.com/office/drawing/2014/main" id="{00000000-0008-0000-0500-00001C000000}"/>
                </a:ext>
              </a:extLst>
            </xdr:cNvPr>
            <xdr:cNvCxnSpPr/>
          </xdr:nvCxnSpPr>
          <xdr:spPr>
            <a:xfrm>
              <a:off x="7620000" y="2286000"/>
              <a:ext cx="1238250" cy="1247775"/>
            </a:xfrm>
            <a:prstGeom prst="straightConnector1">
              <a:avLst/>
            </a:prstGeom>
            <a:ln>
              <a:prstDash val="lgDashDot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409575</xdr:colOff>
      <xdr:row>5</xdr:row>
      <xdr:rowOff>95250</xdr:rowOff>
    </xdr:from>
    <xdr:to>
      <xdr:col>11</xdr:col>
      <xdr:colOff>104775</xdr:colOff>
      <xdr:row>16</xdr:row>
      <xdr:rowOff>38100</xdr:rowOff>
    </xdr:to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6505575" y="1047750"/>
          <a:ext cx="1981200" cy="20383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	                 P2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P1</a:t>
          </a:r>
        </a:p>
        <a:p>
          <a:endParaRPr lang="es-ES" sz="1100"/>
        </a:p>
        <a:p>
          <a:endParaRPr lang="es-ES" sz="1100"/>
        </a:p>
        <a:p>
          <a:endParaRPr lang="es-ES" sz="1100"/>
        </a:p>
        <a:p>
          <a:endParaRPr lang="es-ES" sz="1100"/>
        </a:p>
        <a:p>
          <a:r>
            <a:rPr lang="es-ES" sz="1100"/>
            <a:t> </a:t>
          </a:r>
        </a:p>
        <a:p>
          <a:r>
            <a:rPr lang="es-ES" sz="1100"/>
            <a:t>  A	      </a:t>
          </a:r>
        </a:p>
        <a:p>
          <a:r>
            <a:rPr lang="es-ES" sz="1100"/>
            <a:t>                                                B</a:t>
          </a:r>
        </a:p>
        <a:p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142875</xdr:rowOff>
        </xdr:from>
        <xdr:to>
          <xdr:col>2</xdr:col>
          <xdr:colOff>742950</xdr:colOff>
          <xdr:row>4</xdr:row>
          <xdr:rowOff>95250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38100</xdr:rowOff>
        </xdr:from>
        <xdr:to>
          <xdr:col>4</xdr:col>
          <xdr:colOff>752475</xdr:colOff>
          <xdr:row>7</xdr:row>
          <xdr:rowOff>161925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19</xdr:row>
      <xdr:rowOff>76199</xdr:rowOff>
    </xdr:from>
    <xdr:to>
      <xdr:col>14</xdr:col>
      <xdr:colOff>552450</xdr:colOff>
      <xdr:row>33</xdr:row>
      <xdr:rowOff>85724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41</xdr:row>
      <xdr:rowOff>76199</xdr:rowOff>
    </xdr:from>
    <xdr:to>
      <xdr:col>14</xdr:col>
      <xdr:colOff>552450</xdr:colOff>
      <xdr:row>55</xdr:row>
      <xdr:rowOff>85724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6</xdr:row>
          <xdr:rowOff>38100</xdr:rowOff>
        </xdr:from>
        <xdr:to>
          <xdr:col>2</xdr:col>
          <xdr:colOff>742950</xdr:colOff>
          <xdr:row>8</xdr:row>
          <xdr:rowOff>142875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0</xdr:row>
          <xdr:rowOff>180975</xdr:rowOff>
        </xdr:from>
        <xdr:to>
          <xdr:col>8</xdr:col>
          <xdr:colOff>38100</xdr:colOff>
          <xdr:row>3</xdr:row>
          <xdr:rowOff>0</xdr:rowOff>
        </xdr:to>
        <xdr:sp macro="" textlink="">
          <xdr:nvSpPr>
            <xdr:cNvPr id="7197" name="Object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180975</xdr:rowOff>
        </xdr:from>
        <xdr:to>
          <xdr:col>7</xdr:col>
          <xdr:colOff>352425</xdr:colOff>
          <xdr:row>6</xdr:row>
          <xdr:rowOff>0</xdr:rowOff>
        </xdr:to>
        <xdr:sp macro="" textlink="">
          <xdr:nvSpPr>
            <xdr:cNvPr id="7199" name="Object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104775</xdr:rowOff>
        </xdr:from>
        <xdr:to>
          <xdr:col>2</xdr:col>
          <xdr:colOff>228600</xdr:colOff>
          <xdr:row>22</xdr:row>
          <xdr:rowOff>95250</xdr:rowOff>
        </xdr:to>
        <xdr:sp macro="" textlink="">
          <xdr:nvSpPr>
            <xdr:cNvPr id="7201" name="Object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142875</xdr:rowOff>
        </xdr:from>
        <xdr:to>
          <xdr:col>2</xdr:col>
          <xdr:colOff>542925</xdr:colOff>
          <xdr:row>25</xdr:row>
          <xdr:rowOff>76200</xdr:rowOff>
        </xdr:to>
        <xdr:sp macro="" textlink="">
          <xdr:nvSpPr>
            <xdr:cNvPr id="7210" name="Object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6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7</xdr:row>
          <xdr:rowOff>47625</xdr:rowOff>
        </xdr:from>
        <xdr:to>
          <xdr:col>7</xdr:col>
          <xdr:colOff>38100</xdr:colOff>
          <xdr:row>9</xdr:row>
          <xdr:rowOff>133350</xdr:rowOff>
        </xdr:to>
        <xdr:sp macro="" textlink="">
          <xdr:nvSpPr>
            <xdr:cNvPr id="7211" name="Object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6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41</xdr:row>
          <xdr:rowOff>104775</xdr:rowOff>
        </xdr:from>
        <xdr:to>
          <xdr:col>2</xdr:col>
          <xdr:colOff>228600</xdr:colOff>
          <xdr:row>44</xdr:row>
          <xdr:rowOff>95250</xdr:rowOff>
        </xdr:to>
        <xdr:sp macro="" textlink="">
          <xdr:nvSpPr>
            <xdr:cNvPr id="7212" name="Object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6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44</xdr:row>
          <xdr:rowOff>142875</xdr:rowOff>
        </xdr:from>
        <xdr:to>
          <xdr:col>2</xdr:col>
          <xdr:colOff>542925</xdr:colOff>
          <xdr:row>47</xdr:row>
          <xdr:rowOff>76200</xdr:rowOff>
        </xdr:to>
        <xdr:sp macro="" textlink="">
          <xdr:nvSpPr>
            <xdr:cNvPr id="7213" name="Object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6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714375</xdr:colOff>
          <xdr:row>4</xdr:row>
          <xdr:rowOff>142875</xdr:rowOff>
        </xdr:from>
        <xdr:to>
          <xdr:col>19</xdr:col>
          <xdr:colOff>76200</xdr:colOff>
          <xdr:row>7</xdr:row>
          <xdr:rowOff>133350</xdr:rowOff>
        </xdr:to>
        <xdr:sp macro="" textlink="">
          <xdr:nvSpPr>
            <xdr:cNvPr id="7214" name="Object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21</xdr:row>
      <xdr:rowOff>180975</xdr:rowOff>
    </xdr:from>
    <xdr:to>
      <xdr:col>15</xdr:col>
      <xdr:colOff>0</xdr:colOff>
      <xdr:row>38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14</xdr:row>
          <xdr:rowOff>38100</xdr:rowOff>
        </xdr:from>
        <xdr:to>
          <xdr:col>2</xdr:col>
          <xdr:colOff>742950</xdr:colOff>
          <xdr:row>16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7</xdr:col>
          <xdr:colOff>638175</xdr:colOff>
          <xdr:row>10</xdr:row>
          <xdr:rowOff>9525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38100</xdr:rowOff>
        </xdr:from>
        <xdr:to>
          <xdr:col>7</xdr:col>
          <xdr:colOff>152400</xdr:colOff>
          <xdr:row>12</xdr:row>
          <xdr:rowOff>47625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30</xdr:row>
          <xdr:rowOff>85725</xdr:rowOff>
        </xdr:from>
        <xdr:to>
          <xdr:col>2</xdr:col>
          <xdr:colOff>447675</xdr:colOff>
          <xdr:row>33</xdr:row>
          <xdr:rowOff>76200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40</xdr:row>
          <xdr:rowOff>76200</xdr:rowOff>
        </xdr:from>
        <xdr:to>
          <xdr:col>2</xdr:col>
          <xdr:colOff>676275</xdr:colOff>
          <xdr:row>43</xdr:row>
          <xdr:rowOff>9525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57150</xdr:rowOff>
        </xdr:from>
        <xdr:to>
          <xdr:col>7</xdr:col>
          <xdr:colOff>0</xdr:colOff>
          <xdr:row>14</xdr:row>
          <xdr:rowOff>142875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83</xdr:row>
          <xdr:rowOff>0</xdr:rowOff>
        </xdr:from>
        <xdr:to>
          <xdr:col>2</xdr:col>
          <xdr:colOff>228600</xdr:colOff>
          <xdr:row>85</xdr:row>
          <xdr:rowOff>180975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15</xdr:row>
          <xdr:rowOff>38100</xdr:rowOff>
        </xdr:from>
        <xdr:to>
          <xdr:col>7</xdr:col>
          <xdr:colOff>9525</xdr:colOff>
          <xdr:row>17</xdr:row>
          <xdr:rowOff>161925</xdr:rowOff>
        </xdr:to>
        <xdr:sp macro="" textlink="">
          <xdr:nvSpPr>
            <xdr:cNvPr id="8202" name="Object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2</xdr:row>
      <xdr:rowOff>142874</xdr:rowOff>
    </xdr:from>
    <xdr:to>
      <xdr:col>37</xdr:col>
      <xdr:colOff>9525</xdr:colOff>
      <xdr:row>19</xdr:row>
      <xdr:rowOff>9523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38099</xdr:colOff>
      <xdr:row>21</xdr:row>
      <xdr:rowOff>9525</xdr:rowOff>
    </xdr:from>
    <xdr:to>
      <xdr:col>37</xdr:col>
      <xdr:colOff>9524</xdr:colOff>
      <xdr:row>36</xdr:row>
      <xdr:rowOff>9525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10</xdr:row>
          <xdr:rowOff>171450</xdr:rowOff>
        </xdr:from>
        <xdr:to>
          <xdr:col>4</xdr:col>
          <xdr:colOff>219075</xdr:colOff>
          <xdr:row>14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</xdr:row>
          <xdr:rowOff>28575</xdr:rowOff>
        </xdr:from>
        <xdr:to>
          <xdr:col>11</xdr:col>
          <xdr:colOff>66675</xdr:colOff>
          <xdr:row>14</xdr:row>
          <xdr:rowOff>66675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9525</xdr:rowOff>
        </xdr:from>
        <xdr:to>
          <xdr:col>13</xdr:col>
          <xdr:colOff>428625</xdr:colOff>
          <xdr:row>15</xdr:row>
          <xdr:rowOff>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133350</xdr:rowOff>
        </xdr:from>
        <xdr:to>
          <xdr:col>14</xdr:col>
          <xdr:colOff>19050</xdr:colOff>
          <xdr:row>21</xdr:row>
          <xdr:rowOff>180975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14</xdr:col>
          <xdr:colOff>47625</xdr:colOff>
          <xdr:row>17</xdr:row>
          <xdr:rowOff>142875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23</xdr:row>
          <xdr:rowOff>114300</xdr:rowOff>
        </xdr:from>
        <xdr:to>
          <xdr:col>10</xdr:col>
          <xdr:colOff>19050</xdr:colOff>
          <xdr:row>25</xdr:row>
          <xdr:rowOff>85725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95250</xdr:rowOff>
        </xdr:from>
        <xdr:to>
          <xdr:col>14</xdr:col>
          <xdr:colOff>381000</xdr:colOff>
          <xdr:row>25</xdr:row>
          <xdr:rowOff>66675</xdr:rowOff>
        </xdr:to>
        <xdr:sp macro="" textlink="">
          <xdr:nvSpPr>
            <xdr:cNvPr id="10247" name="Object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25</xdr:row>
          <xdr:rowOff>133350</xdr:rowOff>
        </xdr:from>
        <xdr:to>
          <xdr:col>14</xdr:col>
          <xdr:colOff>9525</xdr:colOff>
          <xdr:row>29</xdr:row>
          <xdr:rowOff>9525</xdr:rowOff>
        </xdr:to>
        <xdr:sp macro="" textlink="">
          <xdr:nvSpPr>
            <xdr:cNvPr id="10248" name="Object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33</xdr:row>
          <xdr:rowOff>152400</xdr:rowOff>
        </xdr:from>
        <xdr:to>
          <xdr:col>9</xdr:col>
          <xdr:colOff>438150</xdr:colOff>
          <xdr:row>35</xdr:row>
          <xdr:rowOff>47625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33</xdr:row>
          <xdr:rowOff>180975</xdr:rowOff>
        </xdr:from>
        <xdr:to>
          <xdr:col>16</xdr:col>
          <xdr:colOff>438150</xdr:colOff>
          <xdr:row>35</xdr:row>
          <xdr:rowOff>19050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</xdr:row>
      <xdr:rowOff>47624</xdr:rowOff>
    </xdr:from>
    <xdr:to>
      <xdr:col>1</xdr:col>
      <xdr:colOff>209551</xdr:colOff>
      <xdr:row>7</xdr:row>
      <xdr:rowOff>171450</xdr:rowOff>
    </xdr:to>
    <xdr:sp macro="" textlink="">
      <xdr:nvSpPr>
        <xdr:cNvPr id="2" name="1 Abrir llav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143751" y="1952624"/>
          <a:ext cx="190500" cy="504826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</xdr:row>
          <xdr:rowOff>161925</xdr:rowOff>
        </xdr:from>
        <xdr:to>
          <xdr:col>6</xdr:col>
          <xdr:colOff>638175</xdr:colOff>
          <xdr:row>6</xdr:row>
          <xdr:rowOff>19050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9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14</xdr:row>
          <xdr:rowOff>104775</xdr:rowOff>
        </xdr:from>
        <xdr:to>
          <xdr:col>6</xdr:col>
          <xdr:colOff>638175</xdr:colOff>
          <xdr:row>16</xdr:row>
          <xdr:rowOff>133350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9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3</xdr:row>
          <xdr:rowOff>0</xdr:rowOff>
        </xdr:from>
        <xdr:to>
          <xdr:col>12</xdr:col>
          <xdr:colOff>0</xdr:colOff>
          <xdr:row>4</xdr:row>
          <xdr:rowOff>57150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9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66675</xdr:rowOff>
        </xdr:from>
        <xdr:to>
          <xdr:col>6</xdr:col>
          <xdr:colOff>619125</xdr:colOff>
          <xdr:row>10</xdr:row>
          <xdr:rowOff>152400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9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5</xdr:row>
          <xdr:rowOff>9525</xdr:rowOff>
        </xdr:from>
        <xdr:to>
          <xdr:col>11</xdr:col>
          <xdr:colOff>628650</xdr:colOff>
          <xdr:row>6</xdr:row>
          <xdr:rowOff>76200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9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6</xdr:row>
          <xdr:rowOff>66675</xdr:rowOff>
        </xdr:from>
        <xdr:to>
          <xdr:col>11</xdr:col>
          <xdr:colOff>628650</xdr:colOff>
          <xdr:row>9</xdr:row>
          <xdr:rowOff>9525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9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9</xdr:row>
          <xdr:rowOff>66675</xdr:rowOff>
        </xdr:from>
        <xdr:to>
          <xdr:col>11</xdr:col>
          <xdr:colOff>638175</xdr:colOff>
          <xdr:row>11</xdr:row>
          <xdr:rowOff>152400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9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12</xdr:row>
          <xdr:rowOff>66675</xdr:rowOff>
        </xdr:from>
        <xdr:to>
          <xdr:col>12</xdr:col>
          <xdr:colOff>0</xdr:colOff>
          <xdr:row>14</xdr:row>
          <xdr:rowOff>114300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9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15</xdr:row>
          <xdr:rowOff>161925</xdr:rowOff>
        </xdr:from>
        <xdr:to>
          <xdr:col>11</xdr:col>
          <xdr:colOff>638175</xdr:colOff>
          <xdr:row>16</xdr:row>
          <xdr:rowOff>180975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9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</xdr:row>
          <xdr:rowOff>47625</xdr:rowOff>
        </xdr:from>
        <xdr:to>
          <xdr:col>6</xdr:col>
          <xdr:colOff>638175</xdr:colOff>
          <xdr:row>3</xdr:row>
          <xdr:rowOff>152400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9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11</xdr:row>
          <xdr:rowOff>19050</xdr:rowOff>
        </xdr:from>
        <xdr:to>
          <xdr:col>6</xdr:col>
          <xdr:colOff>628650</xdr:colOff>
          <xdr:row>13</xdr:row>
          <xdr:rowOff>142875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9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0</xdr:row>
          <xdr:rowOff>171450</xdr:rowOff>
        </xdr:from>
        <xdr:to>
          <xdr:col>12</xdr:col>
          <xdr:colOff>0</xdr:colOff>
          <xdr:row>2</xdr:row>
          <xdr:rowOff>47625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9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esto/Documents/EBS/PersNatu/AGELEC/Los%20Lagos%202/DESARROLLO%20OBRA/INGENIER&#205;A/Ingenier&#237;a%20civil/Torres,%20cimientos%20y%20vientos/C&#225;lculos%20y%20vi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locifdad viento según altura"/>
      <sheetName val="Estadísticas velocidad"/>
      <sheetName val="Apliación v  = f(h)"/>
      <sheetName val="Hoja1"/>
    </sheetNames>
    <sheetDataSet>
      <sheetData sheetId="0"/>
      <sheetData sheetId="1"/>
      <sheetData sheetId="2"/>
      <sheetData sheetId="3">
        <row r="17">
          <cell r="A17" t="str">
            <v>ene</v>
          </cell>
          <cell r="B17">
            <v>22</v>
          </cell>
          <cell r="C17">
            <v>4.9400000000000004</v>
          </cell>
          <cell r="D17">
            <v>4.38</v>
          </cell>
        </row>
        <row r="18">
          <cell r="A18" t="str">
            <v>feb</v>
          </cell>
          <cell r="B18">
            <v>18</v>
          </cell>
          <cell r="C18">
            <v>4.29</v>
          </cell>
          <cell r="D18">
            <v>3.73</v>
          </cell>
        </row>
        <row r="19">
          <cell r="A19" t="str">
            <v>mar</v>
          </cell>
          <cell r="B19">
            <v>23</v>
          </cell>
          <cell r="C19">
            <v>4.33</v>
          </cell>
          <cell r="D19">
            <v>3.56</v>
          </cell>
        </row>
        <row r="20">
          <cell r="A20" t="str">
            <v>abr</v>
          </cell>
          <cell r="B20">
            <v>25</v>
          </cell>
          <cell r="C20">
            <v>4.49</v>
          </cell>
          <cell r="D20">
            <v>3.6</v>
          </cell>
        </row>
        <row r="21">
          <cell r="A21" t="str">
            <v>may</v>
          </cell>
          <cell r="B21">
            <v>27</v>
          </cell>
          <cell r="C21">
            <v>4.25</v>
          </cell>
          <cell r="D21">
            <v>3.49</v>
          </cell>
        </row>
        <row r="22">
          <cell r="A22" t="str">
            <v>jun</v>
          </cell>
          <cell r="B22">
            <v>30</v>
          </cell>
          <cell r="C22">
            <v>5.3</v>
          </cell>
          <cell r="D22">
            <v>4.25</v>
          </cell>
        </row>
        <row r="23">
          <cell r="A23" t="str">
            <v>jul</v>
          </cell>
          <cell r="B23">
            <v>23.5</v>
          </cell>
          <cell r="C23">
            <v>5.39</v>
          </cell>
          <cell r="D23">
            <v>4.5599999999999996</v>
          </cell>
        </row>
        <row r="24">
          <cell r="A24" t="str">
            <v>ago</v>
          </cell>
          <cell r="B24">
            <v>29.75</v>
          </cell>
          <cell r="C24">
            <v>6.13</v>
          </cell>
          <cell r="D24">
            <v>5.0999999999999996</v>
          </cell>
        </row>
        <row r="25">
          <cell r="A25" t="str">
            <v>sep</v>
          </cell>
          <cell r="B25">
            <v>23</v>
          </cell>
          <cell r="C25">
            <v>4.68</v>
          </cell>
          <cell r="D25">
            <v>3.76</v>
          </cell>
        </row>
        <row r="26">
          <cell r="A26" t="str">
            <v>oct</v>
          </cell>
          <cell r="B26">
            <v>20</v>
          </cell>
          <cell r="C26">
            <v>4.6900000000000004</v>
          </cell>
          <cell r="D26">
            <v>3.88</v>
          </cell>
        </row>
        <row r="27">
          <cell r="A27" t="str">
            <v>nov</v>
          </cell>
          <cell r="B27">
            <v>20</v>
          </cell>
          <cell r="C27">
            <v>4.9000000000000004</v>
          </cell>
          <cell r="D27">
            <v>4.05</v>
          </cell>
        </row>
        <row r="28">
          <cell r="A28" t="str">
            <v>dic</v>
          </cell>
          <cell r="B28">
            <v>18</v>
          </cell>
          <cell r="C28">
            <v>5.07</v>
          </cell>
          <cell r="D28">
            <v>4.1500000000000004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1.bin"/><Relationship Id="rId13" Type="http://schemas.openxmlformats.org/officeDocument/2006/relationships/image" Target="../media/image34.emf"/><Relationship Id="rId18" Type="http://schemas.openxmlformats.org/officeDocument/2006/relationships/oleObject" Target="../embeddings/oleObject46.bin"/><Relationship Id="rId26" Type="http://schemas.openxmlformats.org/officeDocument/2006/relationships/oleObject" Target="../embeddings/oleObject50.bin"/><Relationship Id="rId3" Type="http://schemas.openxmlformats.org/officeDocument/2006/relationships/vmlDrawing" Target="../drawings/vmlDrawing8.vml"/><Relationship Id="rId21" Type="http://schemas.openxmlformats.org/officeDocument/2006/relationships/image" Target="../media/image38.emf"/><Relationship Id="rId7" Type="http://schemas.openxmlformats.org/officeDocument/2006/relationships/image" Target="../media/image31.emf"/><Relationship Id="rId12" Type="http://schemas.openxmlformats.org/officeDocument/2006/relationships/oleObject" Target="../embeddings/oleObject43.bin"/><Relationship Id="rId17" Type="http://schemas.openxmlformats.org/officeDocument/2006/relationships/image" Target="../media/image36.emf"/><Relationship Id="rId25" Type="http://schemas.openxmlformats.org/officeDocument/2006/relationships/image" Target="../media/image40.emf"/><Relationship Id="rId2" Type="http://schemas.openxmlformats.org/officeDocument/2006/relationships/drawing" Target="../drawings/drawing9.xml"/><Relationship Id="rId16" Type="http://schemas.openxmlformats.org/officeDocument/2006/relationships/oleObject" Target="../embeddings/oleObject45.bin"/><Relationship Id="rId20" Type="http://schemas.openxmlformats.org/officeDocument/2006/relationships/oleObject" Target="../embeddings/oleObject47.bin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0.bin"/><Relationship Id="rId11" Type="http://schemas.openxmlformats.org/officeDocument/2006/relationships/image" Target="../media/image33.emf"/><Relationship Id="rId24" Type="http://schemas.openxmlformats.org/officeDocument/2006/relationships/oleObject" Target="../embeddings/oleObject49.bin"/><Relationship Id="rId5" Type="http://schemas.openxmlformats.org/officeDocument/2006/relationships/image" Target="../media/image30.emf"/><Relationship Id="rId15" Type="http://schemas.openxmlformats.org/officeDocument/2006/relationships/image" Target="../media/image35.emf"/><Relationship Id="rId23" Type="http://schemas.openxmlformats.org/officeDocument/2006/relationships/image" Target="../media/image39.emf"/><Relationship Id="rId10" Type="http://schemas.openxmlformats.org/officeDocument/2006/relationships/oleObject" Target="../embeddings/oleObject42.bin"/><Relationship Id="rId19" Type="http://schemas.openxmlformats.org/officeDocument/2006/relationships/image" Target="../media/image37.emf"/><Relationship Id="rId4" Type="http://schemas.openxmlformats.org/officeDocument/2006/relationships/oleObject" Target="../embeddings/oleObject39.bin"/><Relationship Id="rId9" Type="http://schemas.openxmlformats.org/officeDocument/2006/relationships/image" Target="../media/image32.emf"/><Relationship Id="rId14" Type="http://schemas.openxmlformats.org/officeDocument/2006/relationships/oleObject" Target="../embeddings/oleObject44.bin"/><Relationship Id="rId22" Type="http://schemas.openxmlformats.org/officeDocument/2006/relationships/oleObject" Target="../embeddings/oleObject48.bin"/><Relationship Id="rId27" Type="http://schemas.openxmlformats.org/officeDocument/2006/relationships/image" Target="../media/image41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.bin"/><Relationship Id="rId3" Type="http://schemas.openxmlformats.org/officeDocument/2006/relationships/vmlDrawing" Target="../drawings/vmlDrawing9.vml"/><Relationship Id="rId7" Type="http://schemas.openxmlformats.org/officeDocument/2006/relationships/image" Target="../media/image4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52.bin"/><Relationship Id="rId11" Type="http://schemas.openxmlformats.org/officeDocument/2006/relationships/image" Target="../media/image45.emf"/><Relationship Id="rId5" Type="http://schemas.openxmlformats.org/officeDocument/2006/relationships/image" Target="../media/image42.emf"/><Relationship Id="rId10" Type="http://schemas.openxmlformats.org/officeDocument/2006/relationships/oleObject" Target="../embeddings/oleObject54.bin"/><Relationship Id="rId4" Type="http://schemas.openxmlformats.org/officeDocument/2006/relationships/oleObject" Target="../embeddings/oleObject51.bin"/><Relationship Id="rId9" Type="http://schemas.openxmlformats.org/officeDocument/2006/relationships/image" Target="../media/image44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6.wmf"/><Relationship Id="rId4" Type="http://schemas.openxmlformats.org/officeDocument/2006/relationships/oleObject" Target="../embeddings/oleObject5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Relationship Id="rId9" Type="http://schemas.openxmlformats.org/officeDocument/2006/relationships/image" Target="../media/image8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1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13" Type="http://schemas.openxmlformats.org/officeDocument/2006/relationships/image" Target="../media/image16.emf"/><Relationship Id="rId18" Type="http://schemas.openxmlformats.org/officeDocument/2006/relationships/oleObject" Target="../embeddings/oleObject20.bin"/><Relationship Id="rId3" Type="http://schemas.openxmlformats.org/officeDocument/2006/relationships/vmlDrawing" Target="../drawings/vmlDrawing5.vml"/><Relationship Id="rId7" Type="http://schemas.openxmlformats.org/officeDocument/2006/relationships/image" Target="../media/image13.emf"/><Relationship Id="rId12" Type="http://schemas.openxmlformats.org/officeDocument/2006/relationships/oleObject" Target="../embeddings/oleObject16.bin"/><Relationship Id="rId17" Type="http://schemas.openxmlformats.org/officeDocument/2006/relationships/oleObject" Target="../embeddings/oleObject19.bin"/><Relationship Id="rId2" Type="http://schemas.openxmlformats.org/officeDocument/2006/relationships/drawing" Target="../drawings/drawing6.xml"/><Relationship Id="rId16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3.bin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oleObject" Target="../embeddings/oleObject15.bin"/><Relationship Id="rId19" Type="http://schemas.openxmlformats.org/officeDocument/2006/relationships/image" Target="../media/image18.emf"/><Relationship Id="rId4" Type="http://schemas.openxmlformats.org/officeDocument/2006/relationships/oleObject" Target="../embeddings/oleObject12.bin"/><Relationship Id="rId9" Type="http://schemas.openxmlformats.org/officeDocument/2006/relationships/image" Target="../media/image14.emf"/><Relationship Id="rId14" Type="http://schemas.openxmlformats.org/officeDocument/2006/relationships/oleObject" Target="../embeddings/oleObject1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16.emf"/><Relationship Id="rId18" Type="http://schemas.openxmlformats.org/officeDocument/2006/relationships/image" Target="../media/image19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13.emf"/><Relationship Id="rId12" Type="http://schemas.openxmlformats.org/officeDocument/2006/relationships/oleObject" Target="../embeddings/oleObject25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27.bin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14.emf"/><Relationship Id="rId14" Type="http://schemas.openxmlformats.org/officeDocument/2006/relationships/oleObject" Target="../embeddings/oleObject2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.bin"/><Relationship Id="rId13" Type="http://schemas.openxmlformats.org/officeDocument/2006/relationships/image" Target="../media/image24.emf"/><Relationship Id="rId18" Type="http://schemas.openxmlformats.org/officeDocument/2006/relationships/oleObject" Target="../embeddings/oleObject36.bin"/><Relationship Id="rId3" Type="http://schemas.openxmlformats.org/officeDocument/2006/relationships/vmlDrawing" Target="../drawings/vmlDrawing7.vml"/><Relationship Id="rId21" Type="http://schemas.openxmlformats.org/officeDocument/2006/relationships/image" Target="../media/image28.emf"/><Relationship Id="rId7" Type="http://schemas.openxmlformats.org/officeDocument/2006/relationships/image" Target="../media/image21.emf"/><Relationship Id="rId12" Type="http://schemas.openxmlformats.org/officeDocument/2006/relationships/oleObject" Target="../embeddings/oleObject33.bin"/><Relationship Id="rId17" Type="http://schemas.openxmlformats.org/officeDocument/2006/relationships/image" Target="../media/image26.emf"/><Relationship Id="rId2" Type="http://schemas.openxmlformats.org/officeDocument/2006/relationships/drawing" Target="../drawings/drawing8.xml"/><Relationship Id="rId16" Type="http://schemas.openxmlformats.org/officeDocument/2006/relationships/oleObject" Target="../embeddings/oleObject35.bin"/><Relationship Id="rId20" Type="http://schemas.openxmlformats.org/officeDocument/2006/relationships/oleObject" Target="../embeddings/oleObject37.bin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30.bin"/><Relationship Id="rId11" Type="http://schemas.openxmlformats.org/officeDocument/2006/relationships/image" Target="../media/image23.emf"/><Relationship Id="rId5" Type="http://schemas.openxmlformats.org/officeDocument/2006/relationships/image" Target="../media/image20.emf"/><Relationship Id="rId15" Type="http://schemas.openxmlformats.org/officeDocument/2006/relationships/image" Target="../media/image25.emf"/><Relationship Id="rId23" Type="http://schemas.openxmlformats.org/officeDocument/2006/relationships/image" Target="../media/image29.emf"/><Relationship Id="rId10" Type="http://schemas.openxmlformats.org/officeDocument/2006/relationships/oleObject" Target="../embeddings/oleObject32.bin"/><Relationship Id="rId19" Type="http://schemas.openxmlformats.org/officeDocument/2006/relationships/image" Target="../media/image27.emf"/><Relationship Id="rId4" Type="http://schemas.openxmlformats.org/officeDocument/2006/relationships/oleObject" Target="../embeddings/oleObject29.bin"/><Relationship Id="rId9" Type="http://schemas.openxmlformats.org/officeDocument/2006/relationships/image" Target="../media/image22.emf"/><Relationship Id="rId14" Type="http://schemas.openxmlformats.org/officeDocument/2006/relationships/oleObject" Target="../embeddings/oleObject34.bin"/><Relationship Id="rId22" Type="http://schemas.openxmlformats.org/officeDocument/2006/relationships/oleObject" Target="../embeddings/oleObject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4"/>
  <sheetViews>
    <sheetView topLeftCell="A25" zoomScaleNormal="100" workbookViewId="0">
      <selection activeCell="H45" sqref="H45"/>
    </sheetView>
  </sheetViews>
  <sheetFormatPr baseColWidth="10" defaultColWidth="9.7109375" defaultRowHeight="15" customHeight="1" x14ac:dyDescent="0.25"/>
  <cols>
    <col min="3" max="3" width="9.7109375" hidden="1" customWidth="1"/>
    <col min="7" max="7" width="9.7109375" hidden="1" customWidth="1"/>
    <col min="11" max="11" width="0" hidden="1" customWidth="1"/>
  </cols>
  <sheetData>
    <row r="2" spans="2:8" ht="15" customHeight="1" x14ac:dyDescent="0.25">
      <c r="B2" s="2" t="s">
        <v>0</v>
      </c>
      <c r="C2" s="2" t="s">
        <v>1</v>
      </c>
      <c r="D2" s="2" t="s">
        <v>5</v>
      </c>
      <c r="F2" s="2" t="s">
        <v>0</v>
      </c>
      <c r="G2" s="2" t="s">
        <v>1</v>
      </c>
      <c r="H2" s="2" t="s">
        <v>8</v>
      </c>
    </row>
    <row r="3" spans="2:8" ht="15" customHeight="1" x14ac:dyDescent="0.25">
      <c r="B3" s="1">
        <v>1</v>
      </c>
      <c r="C3" s="1">
        <v>20</v>
      </c>
      <c r="D3" s="10">
        <f>(C3/100)*$D$33</f>
        <v>0.9</v>
      </c>
      <c r="F3" s="1">
        <v>1</v>
      </c>
      <c r="G3" s="1">
        <v>10</v>
      </c>
      <c r="H3" s="5">
        <f t="shared" ref="H3:H26" si="0">(G3/100)*$H$33</f>
        <v>10</v>
      </c>
    </row>
    <row r="4" spans="2:8" ht="15" customHeight="1" x14ac:dyDescent="0.25">
      <c r="B4" s="1">
        <f>B3+1</f>
        <v>2</v>
      </c>
      <c r="C4" s="1">
        <v>10</v>
      </c>
      <c r="D4" s="10">
        <f t="shared" ref="D4:D26" si="1">(C4/100)*$D$33</f>
        <v>0.45</v>
      </c>
      <c r="F4" s="1">
        <f>F3+1</f>
        <v>2</v>
      </c>
      <c r="G4" s="1">
        <v>10</v>
      </c>
      <c r="H4" s="5">
        <f t="shared" si="0"/>
        <v>10</v>
      </c>
    </row>
    <row r="5" spans="2:8" ht="15" customHeight="1" x14ac:dyDescent="0.25">
      <c r="B5" s="1">
        <f t="shared" ref="B5:B26" si="2">B4+1</f>
        <v>3</v>
      </c>
      <c r="C5" s="1">
        <v>5</v>
      </c>
      <c r="D5" s="10">
        <f t="shared" si="1"/>
        <v>0.22500000000000001</v>
      </c>
      <c r="F5" s="1">
        <f t="shared" ref="F5:F26" si="3">F4+1</f>
        <v>3</v>
      </c>
      <c r="G5" s="1">
        <v>10</v>
      </c>
      <c r="H5" s="5">
        <f t="shared" si="0"/>
        <v>10</v>
      </c>
    </row>
    <row r="6" spans="2:8" ht="15" customHeight="1" x14ac:dyDescent="0.25">
      <c r="B6" s="1">
        <f t="shared" si="2"/>
        <v>4</v>
      </c>
      <c r="C6" s="1">
        <v>5</v>
      </c>
      <c r="D6" s="10">
        <f t="shared" si="1"/>
        <v>0.22500000000000001</v>
      </c>
      <c r="F6" s="1">
        <f t="shared" si="3"/>
        <v>4</v>
      </c>
      <c r="G6" s="1">
        <v>10</v>
      </c>
      <c r="H6" s="5">
        <f t="shared" si="0"/>
        <v>10</v>
      </c>
    </row>
    <row r="7" spans="2:8" ht="15" customHeight="1" x14ac:dyDescent="0.25">
      <c r="B7" s="1">
        <f t="shared" si="2"/>
        <v>5</v>
      </c>
      <c r="C7" s="1">
        <v>5</v>
      </c>
      <c r="D7" s="10">
        <f t="shared" si="1"/>
        <v>0.22500000000000001</v>
      </c>
      <c r="F7" s="1">
        <f t="shared" si="3"/>
        <v>5</v>
      </c>
      <c r="G7" s="1">
        <v>10</v>
      </c>
      <c r="H7" s="5">
        <f t="shared" si="0"/>
        <v>10</v>
      </c>
    </row>
    <row r="8" spans="2:8" ht="15" customHeight="1" x14ac:dyDescent="0.25">
      <c r="B8" s="1">
        <f t="shared" si="2"/>
        <v>6</v>
      </c>
      <c r="C8" s="1">
        <v>10</v>
      </c>
      <c r="D8" s="10">
        <f t="shared" si="1"/>
        <v>0.45</v>
      </c>
      <c r="F8" s="1">
        <f t="shared" si="3"/>
        <v>6</v>
      </c>
      <c r="G8" s="1">
        <v>10</v>
      </c>
      <c r="H8" s="5">
        <f t="shared" si="0"/>
        <v>10</v>
      </c>
    </row>
    <row r="9" spans="2:8" ht="15" customHeight="1" x14ac:dyDescent="0.25">
      <c r="B9" s="1">
        <f t="shared" si="2"/>
        <v>7</v>
      </c>
      <c r="C9" s="1">
        <v>20</v>
      </c>
      <c r="D9" s="10">
        <f t="shared" si="1"/>
        <v>0.9</v>
      </c>
      <c r="F9" s="1">
        <f t="shared" si="3"/>
        <v>7</v>
      </c>
      <c r="G9" s="1">
        <v>10</v>
      </c>
      <c r="H9" s="5">
        <f t="shared" si="0"/>
        <v>10</v>
      </c>
    </row>
    <row r="10" spans="2:8" ht="15" customHeight="1" x14ac:dyDescent="0.25">
      <c r="B10" s="1">
        <f t="shared" si="2"/>
        <v>8</v>
      </c>
      <c r="C10" s="1">
        <v>25</v>
      </c>
      <c r="D10" s="10">
        <f t="shared" si="1"/>
        <v>1.125</v>
      </c>
      <c r="F10" s="1">
        <f t="shared" si="3"/>
        <v>8</v>
      </c>
      <c r="G10" s="1">
        <v>15</v>
      </c>
      <c r="H10" s="5">
        <f t="shared" si="0"/>
        <v>15</v>
      </c>
    </row>
    <row r="11" spans="2:8" ht="15" customHeight="1" x14ac:dyDescent="0.25">
      <c r="B11" s="1">
        <f t="shared" si="2"/>
        <v>9</v>
      </c>
      <c r="C11" s="1">
        <v>30</v>
      </c>
      <c r="D11" s="10">
        <f t="shared" si="1"/>
        <v>1.3499999999999999</v>
      </c>
      <c r="F11" s="1">
        <f t="shared" si="3"/>
        <v>9</v>
      </c>
      <c r="G11" s="1">
        <v>75</v>
      </c>
      <c r="H11" s="5">
        <f t="shared" si="0"/>
        <v>75</v>
      </c>
    </row>
    <row r="12" spans="2:8" ht="15" customHeight="1" x14ac:dyDescent="0.25">
      <c r="B12" s="1">
        <f t="shared" si="2"/>
        <v>10</v>
      </c>
      <c r="C12" s="1">
        <v>30</v>
      </c>
      <c r="D12" s="10">
        <f t="shared" si="1"/>
        <v>1.3499999999999999</v>
      </c>
      <c r="F12" s="1">
        <f t="shared" si="3"/>
        <v>10</v>
      </c>
      <c r="G12" s="1">
        <v>95</v>
      </c>
      <c r="H12" s="5">
        <f t="shared" si="0"/>
        <v>95</v>
      </c>
    </row>
    <row r="13" spans="2:8" ht="15" customHeight="1" x14ac:dyDescent="0.25">
      <c r="B13" s="7">
        <f t="shared" si="2"/>
        <v>11</v>
      </c>
      <c r="C13" s="7">
        <v>40</v>
      </c>
      <c r="D13" s="9">
        <f t="shared" si="1"/>
        <v>1.8</v>
      </c>
      <c r="E13" s="8"/>
      <c r="F13" s="1">
        <f t="shared" si="3"/>
        <v>11</v>
      </c>
      <c r="G13" s="1">
        <v>95</v>
      </c>
      <c r="H13" s="5">
        <f t="shared" si="0"/>
        <v>95</v>
      </c>
    </row>
    <row r="14" spans="2:8" ht="15" customHeight="1" x14ac:dyDescent="0.25">
      <c r="B14" s="7">
        <f t="shared" si="2"/>
        <v>12</v>
      </c>
      <c r="C14" s="7">
        <v>50</v>
      </c>
      <c r="D14" s="9">
        <f t="shared" si="1"/>
        <v>2.25</v>
      </c>
      <c r="E14" s="8"/>
      <c r="F14" s="1">
        <f t="shared" si="3"/>
        <v>12</v>
      </c>
      <c r="G14" s="1">
        <v>95</v>
      </c>
      <c r="H14" s="5">
        <f t="shared" si="0"/>
        <v>95</v>
      </c>
    </row>
    <row r="15" spans="2:8" ht="15" customHeight="1" x14ac:dyDescent="0.25">
      <c r="B15" s="7">
        <f t="shared" si="2"/>
        <v>13</v>
      </c>
      <c r="C15" s="7">
        <v>40</v>
      </c>
      <c r="D15" s="9">
        <f t="shared" si="1"/>
        <v>1.8</v>
      </c>
      <c r="E15" s="9">
        <f>SUM(D13:D18)/1000</f>
        <v>9.8999999999999991E-3</v>
      </c>
      <c r="F15" s="1">
        <f t="shared" si="3"/>
        <v>13</v>
      </c>
      <c r="G15" s="1">
        <v>95</v>
      </c>
      <c r="H15" s="5">
        <f t="shared" si="0"/>
        <v>95</v>
      </c>
    </row>
    <row r="16" spans="2:8" ht="15" customHeight="1" x14ac:dyDescent="0.25">
      <c r="B16" s="7">
        <f t="shared" si="2"/>
        <v>14</v>
      </c>
      <c r="C16" s="7">
        <v>30</v>
      </c>
      <c r="D16" s="9">
        <f t="shared" si="1"/>
        <v>1.3499999999999999</v>
      </c>
      <c r="E16" s="8"/>
      <c r="F16" s="1">
        <f t="shared" si="3"/>
        <v>14</v>
      </c>
      <c r="G16" s="1">
        <v>80</v>
      </c>
      <c r="H16" s="5">
        <f t="shared" si="0"/>
        <v>80</v>
      </c>
    </row>
    <row r="17" spans="2:8" ht="15" customHeight="1" x14ac:dyDescent="0.25">
      <c r="B17" s="7">
        <f t="shared" si="2"/>
        <v>15</v>
      </c>
      <c r="C17" s="7">
        <v>30</v>
      </c>
      <c r="D17" s="9">
        <f t="shared" si="1"/>
        <v>1.3499999999999999</v>
      </c>
      <c r="E17" s="8"/>
      <c r="F17" s="1">
        <f t="shared" si="3"/>
        <v>15</v>
      </c>
      <c r="G17" s="1">
        <v>80</v>
      </c>
      <c r="H17" s="5">
        <f t="shared" si="0"/>
        <v>80</v>
      </c>
    </row>
    <row r="18" spans="2:8" ht="15" customHeight="1" x14ac:dyDescent="0.25">
      <c r="B18" s="7">
        <f t="shared" si="2"/>
        <v>16</v>
      </c>
      <c r="C18" s="7">
        <v>30</v>
      </c>
      <c r="D18" s="9">
        <f t="shared" si="1"/>
        <v>1.3499999999999999</v>
      </c>
      <c r="E18" s="8"/>
      <c r="F18" s="1">
        <f t="shared" si="3"/>
        <v>16</v>
      </c>
      <c r="G18" s="1">
        <v>95</v>
      </c>
      <c r="H18" s="5">
        <f t="shared" si="0"/>
        <v>95</v>
      </c>
    </row>
    <row r="19" spans="2:8" ht="15" customHeight="1" x14ac:dyDescent="0.25">
      <c r="B19" s="1">
        <f t="shared" si="2"/>
        <v>17</v>
      </c>
      <c r="C19" s="1">
        <v>40</v>
      </c>
      <c r="D19" s="10">
        <f t="shared" si="1"/>
        <v>1.8</v>
      </c>
      <c r="F19" s="1">
        <f t="shared" si="3"/>
        <v>17</v>
      </c>
      <c r="G19" s="1">
        <v>100</v>
      </c>
      <c r="H19" s="5">
        <f t="shared" si="0"/>
        <v>100</v>
      </c>
    </row>
    <row r="20" spans="2:8" ht="15" customHeight="1" x14ac:dyDescent="0.25">
      <c r="B20" s="1">
        <f t="shared" si="2"/>
        <v>18</v>
      </c>
      <c r="C20" s="1">
        <v>50</v>
      </c>
      <c r="D20" s="10">
        <f t="shared" si="1"/>
        <v>2.25</v>
      </c>
      <c r="F20" s="1">
        <f t="shared" si="3"/>
        <v>18</v>
      </c>
      <c r="G20" s="1">
        <v>100</v>
      </c>
      <c r="H20" s="5">
        <f t="shared" si="0"/>
        <v>100</v>
      </c>
    </row>
    <row r="21" spans="2:8" ht="15" customHeight="1" x14ac:dyDescent="0.25">
      <c r="B21" s="1">
        <f t="shared" si="2"/>
        <v>19</v>
      </c>
      <c r="C21" s="1">
        <v>60</v>
      </c>
      <c r="D21" s="10">
        <f t="shared" si="1"/>
        <v>2.6999999999999997</v>
      </c>
      <c r="F21" s="1">
        <f t="shared" si="3"/>
        <v>19</v>
      </c>
      <c r="G21" s="1">
        <v>100</v>
      </c>
      <c r="H21" s="5">
        <f t="shared" si="0"/>
        <v>100</v>
      </c>
    </row>
    <row r="22" spans="2:8" ht="15" customHeight="1" x14ac:dyDescent="0.25">
      <c r="B22" s="1">
        <f t="shared" si="2"/>
        <v>20</v>
      </c>
      <c r="C22" s="1">
        <v>100</v>
      </c>
      <c r="D22" s="10">
        <f t="shared" si="1"/>
        <v>4.5</v>
      </c>
      <c r="F22" s="1">
        <f t="shared" si="3"/>
        <v>20</v>
      </c>
      <c r="G22" s="1">
        <v>100</v>
      </c>
      <c r="H22" s="5">
        <f t="shared" si="0"/>
        <v>100</v>
      </c>
    </row>
    <row r="23" spans="2:8" ht="15" customHeight="1" x14ac:dyDescent="0.25">
      <c r="B23" s="1">
        <f t="shared" si="2"/>
        <v>21</v>
      </c>
      <c r="C23" s="1">
        <v>100</v>
      </c>
      <c r="D23" s="10">
        <f t="shared" si="1"/>
        <v>4.5</v>
      </c>
      <c r="F23" s="1">
        <f t="shared" si="3"/>
        <v>21</v>
      </c>
      <c r="G23" s="1">
        <v>100</v>
      </c>
      <c r="H23" s="5">
        <f t="shared" si="0"/>
        <v>100</v>
      </c>
    </row>
    <row r="24" spans="2:8" ht="15" customHeight="1" x14ac:dyDescent="0.25">
      <c r="B24" s="1">
        <f t="shared" si="2"/>
        <v>22</v>
      </c>
      <c r="C24" s="1">
        <v>80</v>
      </c>
      <c r="D24" s="10">
        <f t="shared" si="1"/>
        <v>3.6</v>
      </c>
      <c r="F24" s="1">
        <f t="shared" si="3"/>
        <v>22</v>
      </c>
      <c r="G24" s="1">
        <v>80</v>
      </c>
      <c r="H24" s="5">
        <f t="shared" si="0"/>
        <v>80</v>
      </c>
    </row>
    <row r="25" spans="2:8" ht="15" customHeight="1" x14ac:dyDescent="0.25">
      <c r="B25" s="1">
        <f t="shared" si="2"/>
        <v>23</v>
      </c>
      <c r="C25" s="1">
        <v>50</v>
      </c>
      <c r="D25" s="10">
        <f t="shared" si="1"/>
        <v>2.25</v>
      </c>
      <c r="F25" s="1">
        <f t="shared" si="3"/>
        <v>23</v>
      </c>
      <c r="G25" s="1">
        <v>15</v>
      </c>
      <c r="H25" s="5">
        <f t="shared" si="0"/>
        <v>15</v>
      </c>
    </row>
    <row r="26" spans="2:8" ht="15" customHeight="1" x14ac:dyDescent="0.25">
      <c r="B26" s="1">
        <f t="shared" si="2"/>
        <v>24</v>
      </c>
      <c r="C26" s="1">
        <v>20</v>
      </c>
      <c r="D26" s="10">
        <f t="shared" si="1"/>
        <v>0.9</v>
      </c>
      <c r="F26" s="1">
        <f t="shared" si="3"/>
        <v>24</v>
      </c>
      <c r="G26" s="1">
        <v>10</v>
      </c>
      <c r="H26" s="5">
        <f t="shared" si="0"/>
        <v>10</v>
      </c>
    </row>
    <row r="28" spans="2:8" ht="15" customHeight="1" x14ac:dyDescent="0.25">
      <c r="B28" s="4" t="s">
        <v>10</v>
      </c>
      <c r="D28" s="10">
        <f>SUM(D3:D26)/1000</f>
        <v>3.9600000000000003E-2</v>
      </c>
      <c r="F28" s="1"/>
    </row>
    <row r="29" spans="2:8" ht="15" customHeight="1" x14ac:dyDescent="0.25">
      <c r="B29" s="4" t="s">
        <v>11</v>
      </c>
      <c r="D29" s="10">
        <f>D28*30</f>
        <v>1.1880000000000002</v>
      </c>
    </row>
    <row r="30" spans="2:8" ht="15" customHeight="1" x14ac:dyDescent="0.25">
      <c r="B30" s="4" t="s">
        <v>2</v>
      </c>
      <c r="C30" s="3">
        <f>MAX(C3:C26)</f>
        <v>100</v>
      </c>
      <c r="F30" s="4" t="s">
        <v>2</v>
      </c>
      <c r="G30" s="3">
        <f>MAX(G3:G26)</f>
        <v>100</v>
      </c>
    </row>
    <row r="31" spans="2:8" ht="15" customHeight="1" x14ac:dyDescent="0.25">
      <c r="B31" s="4" t="s">
        <v>3</v>
      </c>
      <c r="C31" s="3">
        <f>SUM(C3:C26)/B26</f>
        <v>36.666666666666664</v>
      </c>
      <c r="F31" s="4" t="s">
        <v>3</v>
      </c>
      <c r="G31" s="3">
        <f>SUM(G3:G26)/F26</f>
        <v>58.333333333333336</v>
      </c>
    </row>
    <row r="32" spans="2:8" ht="15" customHeight="1" x14ac:dyDescent="0.25">
      <c r="B32" s="4" t="s">
        <v>4</v>
      </c>
      <c r="D32" s="3">
        <f>C31*100/C30</f>
        <v>36.666666666666664</v>
      </c>
      <c r="F32" s="4" t="s">
        <v>4</v>
      </c>
      <c r="H32" s="3">
        <f>G31*100/G30</f>
        <v>58.333333333333343</v>
      </c>
    </row>
    <row r="33" spans="2:8" ht="15" customHeight="1" x14ac:dyDescent="0.25">
      <c r="B33" s="4" t="s">
        <v>7</v>
      </c>
      <c r="D33" s="61">
        <v>4.5</v>
      </c>
      <c r="F33" s="4" t="s">
        <v>6</v>
      </c>
      <c r="H33" s="5">
        <v>100</v>
      </c>
    </row>
    <row r="35" spans="2:8" ht="15" customHeight="1" x14ac:dyDescent="0.25">
      <c r="B35" s="2" t="s">
        <v>0</v>
      </c>
      <c r="C35" s="2" t="s">
        <v>1</v>
      </c>
      <c r="D35" s="2" t="s">
        <v>9</v>
      </c>
    </row>
    <row r="36" spans="2:8" ht="15" customHeight="1" x14ac:dyDescent="0.25">
      <c r="B36" s="1">
        <v>1</v>
      </c>
      <c r="C36" s="6">
        <v>90</v>
      </c>
      <c r="D36" s="5">
        <f t="shared" ref="D36:D59" si="4">(C36/100)*$D$64</f>
        <v>13500</v>
      </c>
    </row>
    <row r="37" spans="2:8" ht="15" customHeight="1" x14ac:dyDescent="0.25">
      <c r="B37" s="1">
        <f>B36+1</f>
        <v>2</v>
      </c>
      <c r="C37" s="6">
        <v>90</v>
      </c>
      <c r="D37" s="5">
        <f t="shared" si="4"/>
        <v>13500</v>
      </c>
    </row>
    <row r="38" spans="2:8" ht="15" customHeight="1" x14ac:dyDescent="0.25">
      <c r="B38" s="1">
        <f t="shared" ref="B38:B59" si="5">B37+1</f>
        <v>3</v>
      </c>
      <c r="C38" s="6">
        <v>90</v>
      </c>
      <c r="D38" s="5">
        <f t="shared" si="4"/>
        <v>13500</v>
      </c>
    </row>
    <row r="39" spans="2:8" ht="15" customHeight="1" x14ac:dyDescent="0.25">
      <c r="B39" s="1">
        <f t="shared" si="5"/>
        <v>4</v>
      </c>
      <c r="C39" s="6">
        <v>90</v>
      </c>
      <c r="D39" s="5">
        <f t="shared" si="4"/>
        <v>13500</v>
      </c>
    </row>
    <row r="40" spans="2:8" ht="15" customHeight="1" x14ac:dyDescent="0.25">
      <c r="B40" s="1">
        <f t="shared" si="5"/>
        <v>5</v>
      </c>
      <c r="C40" s="6">
        <v>90</v>
      </c>
      <c r="D40" s="5">
        <f t="shared" si="4"/>
        <v>13500</v>
      </c>
    </row>
    <row r="41" spans="2:8" ht="15" customHeight="1" x14ac:dyDescent="0.25">
      <c r="B41" s="1">
        <f t="shared" si="5"/>
        <v>6</v>
      </c>
      <c r="C41" s="6">
        <v>90</v>
      </c>
      <c r="D41" s="5">
        <f t="shared" si="4"/>
        <v>13500</v>
      </c>
    </row>
    <row r="42" spans="2:8" ht="15" customHeight="1" x14ac:dyDescent="0.25">
      <c r="B42" s="1">
        <f t="shared" si="5"/>
        <v>7</v>
      </c>
      <c r="C42" s="6">
        <v>80</v>
      </c>
      <c r="D42" s="5">
        <f t="shared" si="4"/>
        <v>12000</v>
      </c>
    </row>
    <row r="43" spans="2:8" ht="15" customHeight="1" x14ac:dyDescent="0.25">
      <c r="B43" s="1">
        <f t="shared" si="5"/>
        <v>8</v>
      </c>
      <c r="C43" s="6">
        <v>80</v>
      </c>
      <c r="D43" s="5">
        <f t="shared" si="4"/>
        <v>12000</v>
      </c>
    </row>
    <row r="44" spans="2:8" ht="15" customHeight="1" x14ac:dyDescent="0.25">
      <c r="B44" s="1">
        <f t="shared" si="5"/>
        <v>9</v>
      </c>
      <c r="C44" s="6">
        <v>90</v>
      </c>
      <c r="D44" s="5">
        <f t="shared" si="4"/>
        <v>13500</v>
      </c>
    </row>
    <row r="45" spans="2:8" ht="15" customHeight="1" x14ac:dyDescent="0.25">
      <c r="B45" s="1">
        <f t="shared" si="5"/>
        <v>10</v>
      </c>
      <c r="C45" s="6">
        <v>90</v>
      </c>
      <c r="D45" s="5">
        <f t="shared" si="4"/>
        <v>13500</v>
      </c>
    </row>
    <row r="46" spans="2:8" ht="15" customHeight="1" x14ac:dyDescent="0.25">
      <c r="B46" s="1">
        <f t="shared" si="5"/>
        <v>11</v>
      </c>
      <c r="C46" s="6">
        <v>90</v>
      </c>
      <c r="D46" s="5">
        <f t="shared" si="4"/>
        <v>13500</v>
      </c>
    </row>
    <row r="47" spans="2:8" ht="15" customHeight="1" x14ac:dyDescent="0.25">
      <c r="B47" s="1">
        <f t="shared" si="5"/>
        <v>12</v>
      </c>
      <c r="C47" s="6">
        <v>90</v>
      </c>
      <c r="D47" s="5">
        <f t="shared" si="4"/>
        <v>13500</v>
      </c>
    </row>
    <row r="48" spans="2:8" ht="15" customHeight="1" x14ac:dyDescent="0.25">
      <c r="B48" s="1">
        <f t="shared" si="5"/>
        <v>13</v>
      </c>
      <c r="C48" s="6">
        <v>90</v>
      </c>
      <c r="D48" s="5">
        <f t="shared" si="4"/>
        <v>13500</v>
      </c>
    </row>
    <row r="49" spans="2:4" ht="15" customHeight="1" x14ac:dyDescent="0.25">
      <c r="B49" s="1">
        <f t="shared" si="5"/>
        <v>14</v>
      </c>
      <c r="C49" s="6">
        <v>90</v>
      </c>
      <c r="D49" s="5">
        <f t="shared" si="4"/>
        <v>13500</v>
      </c>
    </row>
    <row r="50" spans="2:4" ht="15" customHeight="1" x14ac:dyDescent="0.25">
      <c r="B50" s="1">
        <f t="shared" si="5"/>
        <v>15</v>
      </c>
      <c r="C50" s="6">
        <v>80</v>
      </c>
      <c r="D50" s="5">
        <f t="shared" si="4"/>
        <v>12000</v>
      </c>
    </row>
    <row r="51" spans="2:4" ht="15" customHeight="1" x14ac:dyDescent="0.25">
      <c r="B51" s="1">
        <f t="shared" si="5"/>
        <v>16</v>
      </c>
      <c r="C51" s="6">
        <v>90</v>
      </c>
      <c r="D51" s="5">
        <f t="shared" si="4"/>
        <v>13500</v>
      </c>
    </row>
    <row r="52" spans="2:4" ht="15" customHeight="1" x14ac:dyDescent="0.25">
      <c r="B52" s="1">
        <f t="shared" si="5"/>
        <v>17</v>
      </c>
      <c r="C52" s="6">
        <v>100</v>
      </c>
      <c r="D52" s="5">
        <f t="shared" si="4"/>
        <v>15000</v>
      </c>
    </row>
    <row r="53" spans="2:4" ht="15" customHeight="1" x14ac:dyDescent="0.25">
      <c r="B53" s="1">
        <f t="shared" si="5"/>
        <v>18</v>
      </c>
      <c r="C53" s="6">
        <v>100</v>
      </c>
      <c r="D53" s="5">
        <f t="shared" si="4"/>
        <v>15000</v>
      </c>
    </row>
    <row r="54" spans="2:4" ht="15" customHeight="1" x14ac:dyDescent="0.25">
      <c r="B54" s="1">
        <f t="shared" si="5"/>
        <v>19</v>
      </c>
      <c r="C54" s="6">
        <v>100</v>
      </c>
      <c r="D54" s="5">
        <f t="shared" si="4"/>
        <v>15000</v>
      </c>
    </row>
    <row r="55" spans="2:4" ht="15" customHeight="1" x14ac:dyDescent="0.25">
      <c r="B55" s="1">
        <f t="shared" si="5"/>
        <v>20</v>
      </c>
      <c r="C55" s="6">
        <v>100</v>
      </c>
      <c r="D55" s="5">
        <f t="shared" si="4"/>
        <v>15000</v>
      </c>
    </row>
    <row r="56" spans="2:4" ht="15" customHeight="1" x14ac:dyDescent="0.25">
      <c r="B56" s="1">
        <f t="shared" si="5"/>
        <v>21</v>
      </c>
      <c r="C56" s="6">
        <v>100</v>
      </c>
      <c r="D56" s="5">
        <f t="shared" si="4"/>
        <v>15000</v>
      </c>
    </row>
    <row r="57" spans="2:4" ht="15" customHeight="1" x14ac:dyDescent="0.25">
      <c r="B57" s="1">
        <f t="shared" si="5"/>
        <v>22</v>
      </c>
      <c r="C57" s="6">
        <v>100</v>
      </c>
      <c r="D57" s="5">
        <f t="shared" si="4"/>
        <v>15000</v>
      </c>
    </row>
    <row r="58" spans="2:4" ht="15" customHeight="1" x14ac:dyDescent="0.25">
      <c r="B58" s="1">
        <f t="shared" si="5"/>
        <v>23</v>
      </c>
      <c r="C58" s="6">
        <v>90</v>
      </c>
      <c r="D58" s="5">
        <f t="shared" si="4"/>
        <v>13500</v>
      </c>
    </row>
    <row r="59" spans="2:4" ht="15" customHeight="1" x14ac:dyDescent="0.25">
      <c r="B59" s="1">
        <f t="shared" si="5"/>
        <v>24</v>
      </c>
      <c r="C59" s="6">
        <v>80</v>
      </c>
      <c r="D59" s="5">
        <f t="shared" si="4"/>
        <v>12000</v>
      </c>
    </row>
    <row r="60" spans="2:4" ht="15" customHeight="1" x14ac:dyDescent="0.25">
      <c r="B60" s="1"/>
    </row>
    <row r="61" spans="2:4" ht="15" customHeight="1" x14ac:dyDescent="0.25">
      <c r="B61" s="4" t="s">
        <v>2</v>
      </c>
      <c r="C61" s="3">
        <f>MAX(C36:C59)</f>
        <v>100</v>
      </c>
    </row>
    <row r="62" spans="2:4" ht="15" customHeight="1" x14ac:dyDescent="0.25">
      <c r="B62" s="4" t="s">
        <v>3</v>
      </c>
      <c r="C62" s="3">
        <f>SUM(C36:C59)/B59</f>
        <v>90.833333333333329</v>
      </c>
    </row>
    <row r="63" spans="2:4" ht="15" customHeight="1" x14ac:dyDescent="0.25">
      <c r="B63" s="4" t="s">
        <v>4</v>
      </c>
      <c r="D63" s="3">
        <f>C62*100/C61</f>
        <v>90.833333333333314</v>
      </c>
    </row>
    <row r="64" spans="2:4" ht="15" customHeight="1" x14ac:dyDescent="0.25">
      <c r="B64" s="4" t="s">
        <v>6</v>
      </c>
      <c r="D64" s="5">
        <v>15000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W28"/>
  <sheetViews>
    <sheetView zoomScale="85" zoomScaleNormal="85" workbookViewId="0">
      <selection activeCell="Q13" sqref="Q13"/>
    </sheetView>
  </sheetViews>
  <sheetFormatPr baseColWidth="10" defaultColWidth="9.7109375" defaultRowHeight="15" customHeight="1" x14ac:dyDescent="0.25"/>
  <cols>
    <col min="1" max="16384" width="9.7109375" style="144"/>
  </cols>
  <sheetData>
    <row r="2" spans="2:23" ht="15" customHeight="1" x14ac:dyDescent="0.25">
      <c r="B2" s="60" t="s">
        <v>298</v>
      </c>
      <c r="C2" s="154">
        <v>2.7</v>
      </c>
      <c r="D2" s="85" t="s">
        <v>303</v>
      </c>
      <c r="G2" s="254"/>
      <c r="J2" s="85"/>
      <c r="M2" s="255">
        <f>C16*H16</f>
        <v>2.4172950263752666</v>
      </c>
      <c r="N2" s="85" t="s">
        <v>253</v>
      </c>
      <c r="P2" s="60"/>
      <c r="Q2" s="143"/>
      <c r="R2" s="85"/>
      <c r="V2" s="258"/>
    </row>
    <row r="3" spans="2:23" ht="15" customHeight="1" x14ac:dyDescent="0.25">
      <c r="B3" s="60" t="s">
        <v>307</v>
      </c>
      <c r="C3" s="138">
        <v>1.6</v>
      </c>
      <c r="D3" s="85" t="s">
        <v>258</v>
      </c>
      <c r="G3" s="252"/>
      <c r="H3" s="255">
        <f>((C7^2-4*C8*(C6-C5))^0.5-C7)/(2*C8)</f>
        <v>2.8388218141501076</v>
      </c>
      <c r="I3" s="85" t="s">
        <v>251</v>
      </c>
      <c r="K3" s="60"/>
      <c r="L3" s="60"/>
      <c r="M3" s="255"/>
      <c r="N3" s="85"/>
      <c r="P3" s="60"/>
      <c r="Q3" s="143"/>
      <c r="R3" s="85"/>
      <c r="V3" s="258"/>
    </row>
    <row r="4" spans="2:23" ht="15" customHeight="1" x14ac:dyDescent="0.25">
      <c r="B4" s="60" t="s">
        <v>308</v>
      </c>
      <c r="C4" s="255">
        <v>0.6</v>
      </c>
      <c r="D4" s="85" t="s">
        <v>258</v>
      </c>
      <c r="M4" s="255">
        <f>M2*(C10*C11*C12/1000000)</f>
        <v>1.5030136150244813</v>
      </c>
      <c r="N4" s="85" t="s">
        <v>253</v>
      </c>
      <c r="Q4" s="143"/>
      <c r="R4" s="145"/>
      <c r="V4" s="258"/>
    </row>
    <row r="5" spans="2:23" ht="15" customHeight="1" x14ac:dyDescent="0.25">
      <c r="B5" s="60" t="s">
        <v>304</v>
      </c>
      <c r="C5" s="257">
        <v>7.0000000000000001E-3</v>
      </c>
      <c r="D5" s="85" t="s">
        <v>310</v>
      </c>
      <c r="P5" s="101"/>
      <c r="Q5" s="143"/>
      <c r="R5" s="85"/>
      <c r="U5" s="101"/>
      <c r="V5" s="252"/>
      <c r="W5" s="85"/>
    </row>
    <row r="6" spans="2:23" ht="15" customHeight="1" x14ac:dyDescent="0.25">
      <c r="B6" s="60" t="s">
        <v>312</v>
      </c>
      <c r="C6" s="259">
        <v>4.0000000000000001E-3</v>
      </c>
      <c r="H6" s="255">
        <f>C2/H3</f>
        <v>0.95109879265470276</v>
      </c>
      <c r="I6" s="85" t="s">
        <v>309</v>
      </c>
      <c r="M6" s="255">
        <f>H10-M2</f>
        <v>8.4622325184923177</v>
      </c>
      <c r="N6" s="85" t="s">
        <v>253</v>
      </c>
    </row>
    <row r="7" spans="2:23" ht="15" customHeight="1" x14ac:dyDescent="0.25">
      <c r="B7" s="60" t="s">
        <v>313</v>
      </c>
      <c r="C7" s="259">
        <v>1E-3</v>
      </c>
      <c r="M7" s="256"/>
      <c r="S7" s="260"/>
      <c r="U7" s="60"/>
      <c r="V7" s="257"/>
      <c r="W7" s="85"/>
    </row>
    <row r="8" spans="2:23" ht="15" customHeight="1" x14ac:dyDescent="0.25">
      <c r="B8" s="60" t="s">
        <v>314</v>
      </c>
      <c r="C8" s="259">
        <v>2.0000000000000002E-5</v>
      </c>
      <c r="G8" s="60" t="s">
        <v>306</v>
      </c>
      <c r="H8" s="255">
        <f>H6/C3</f>
        <v>0.59443674540918923</v>
      </c>
      <c r="I8" s="85" t="s">
        <v>258</v>
      </c>
      <c r="M8" s="255">
        <f>((2*M6*1000)/(C15*C2))^0.5</f>
        <v>2.5036613956500555</v>
      </c>
      <c r="N8" s="85" t="s">
        <v>251</v>
      </c>
    </row>
    <row r="10" spans="2:23" ht="15" customHeight="1" x14ac:dyDescent="0.25">
      <c r="B10" s="141" t="s">
        <v>299</v>
      </c>
      <c r="C10" s="154">
        <v>85</v>
      </c>
      <c r="D10" s="85" t="s">
        <v>263</v>
      </c>
      <c r="H10" s="255">
        <f>(0.5*C15*C2*H3^2)/1000</f>
        <v>10.879527544867585</v>
      </c>
      <c r="I10" s="85" t="s">
        <v>253</v>
      </c>
      <c r="M10" s="256"/>
    </row>
    <row r="11" spans="2:23" ht="15" customHeight="1" x14ac:dyDescent="0.25">
      <c r="B11" s="141" t="s">
        <v>300</v>
      </c>
      <c r="C11" s="154">
        <v>77</v>
      </c>
      <c r="D11" s="85" t="s">
        <v>263</v>
      </c>
      <c r="M11" s="255">
        <f>C2/M8</f>
        <v>1.07842059021682</v>
      </c>
      <c r="N11" s="85" t="s">
        <v>309</v>
      </c>
      <c r="T11" s="259"/>
    </row>
    <row r="12" spans="2:23" ht="15" customHeight="1" x14ac:dyDescent="0.25">
      <c r="B12" s="141" t="s">
        <v>301</v>
      </c>
      <c r="C12" s="154">
        <v>95</v>
      </c>
      <c r="D12" s="85" t="s">
        <v>263</v>
      </c>
      <c r="T12" s="259"/>
    </row>
    <row r="13" spans="2:23" ht="15" customHeight="1" x14ac:dyDescent="0.25">
      <c r="H13" s="144">
        <f>H6*(C4/C3)</f>
        <v>0.35666204724551348</v>
      </c>
      <c r="I13" s="85" t="s">
        <v>309</v>
      </c>
      <c r="T13" s="259"/>
    </row>
    <row r="14" spans="2:23" ht="15" customHeight="1" x14ac:dyDescent="0.25">
      <c r="B14" s="60" t="s">
        <v>13</v>
      </c>
      <c r="C14" s="154">
        <v>9.81</v>
      </c>
      <c r="D14" s="85" t="s">
        <v>305</v>
      </c>
      <c r="M14" s="255">
        <f>M11/C3</f>
        <v>0.67401286888551248</v>
      </c>
      <c r="N14" s="85" t="s">
        <v>258</v>
      </c>
    </row>
    <row r="15" spans="2:23" ht="15" customHeight="1" x14ac:dyDescent="0.25">
      <c r="B15" s="60" t="s">
        <v>12</v>
      </c>
      <c r="C15" s="251">
        <v>1000</v>
      </c>
      <c r="D15" s="85" t="s">
        <v>302</v>
      </c>
      <c r="T15" s="255"/>
      <c r="U15" s="85"/>
    </row>
    <row r="16" spans="2:23" ht="15" customHeight="1" x14ac:dyDescent="0.25">
      <c r="B16" s="141" t="s">
        <v>311</v>
      </c>
      <c r="C16" s="250">
        <v>0.59250000000000003</v>
      </c>
      <c r="F16" s="85"/>
      <c r="G16" s="85"/>
      <c r="H16" s="279">
        <f>0.5*C15*H13*H3^3/1000</f>
        <v>4.0798228293253445</v>
      </c>
      <c r="I16" s="85" t="s">
        <v>253</v>
      </c>
    </row>
    <row r="17" spans="3:19" ht="15" customHeight="1" x14ac:dyDescent="0.25">
      <c r="M17" s="255">
        <f>M14-H8</f>
        <v>7.9576123476323257E-2</v>
      </c>
      <c r="N17" s="85" t="s">
        <v>258</v>
      </c>
    </row>
    <row r="18" spans="3:19" ht="15" customHeight="1" x14ac:dyDescent="0.25">
      <c r="Q18" s="60"/>
      <c r="R18" s="253"/>
      <c r="S18" s="85"/>
    </row>
    <row r="20" spans="3:19" ht="15" customHeight="1" x14ac:dyDescent="0.25">
      <c r="M20" s="255"/>
      <c r="R20" s="154"/>
    </row>
    <row r="21" spans="3:19" ht="15" customHeight="1" x14ac:dyDescent="0.25">
      <c r="D21" s="154"/>
      <c r="E21" s="85"/>
      <c r="F21" s="85"/>
      <c r="G21" s="85"/>
      <c r="M21" s="252"/>
      <c r="N21" s="85"/>
    </row>
    <row r="23" spans="3:19" ht="15" customHeight="1" x14ac:dyDescent="0.25">
      <c r="C23" s="154"/>
    </row>
    <row r="24" spans="3:19" ht="15" customHeight="1" x14ac:dyDescent="0.25">
      <c r="R24" s="261"/>
    </row>
    <row r="25" spans="3:19" ht="15" customHeight="1" x14ac:dyDescent="0.25">
      <c r="D25" s="255"/>
      <c r="E25" s="85"/>
      <c r="F25" s="85"/>
      <c r="G25" s="85"/>
    </row>
    <row r="26" spans="3:19" ht="15" customHeight="1" x14ac:dyDescent="0.25">
      <c r="M26" s="154"/>
    </row>
    <row r="28" spans="3:19" ht="15" customHeight="1" x14ac:dyDescent="0.25">
      <c r="D28" s="255"/>
      <c r="E28" s="85"/>
      <c r="F28" s="85"/>
      <c r="G28" s="85"/>
    </row>
  </sheetData>
  <sheetProtection sheet="1" objects="1" scenarios="1"/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54" r:id="rId4">
          <objectPr defaultSize="0" autoPict="0" r:id="rId5">
            <anchor moveWithCells="1">
              <from>
                <xdr:col>4</xdr:col>
                <xdr:colOff>257175</xdr:colOff>
                <xdr:row>4</xdr:row>
                <xdr:rowOff>161925</xdr:rowOff>
              </from>
              <to>
                <xdr:col>6</xdr:col>
                <xdr:colOff>638175</xdr:colOff>
                <xdr:row>6</xdr:row>
                <xdr:rowOff>19050</xdr:rowOff>
              </to>
            </anchor>
          </objectPr>
        </oleObject>
      </mc:Choice>
      <mc:Fallback>
        <oleObject progId="Equation.3" shapeId="1054" r:id="rId4"/>
      </mc:Fallback>
    </mc:AlternateContent>
    <mc:AlternateContent xmlns:mc="http://schemas.openxmlformats.org/markup-compatibility/2006">
      <mc:Choice Requires="x14">
        <oleObject progId="Equation.3" shapeId="1056" r:id="rId6">
          <objectPr defaultSize="0" autoPict="0" r:id="rId7">
            <anchor moveWithCells="1">
              <from>
                <xdr:col>3</xdr:col>
                <xdr:colOff>514350</xdr:colOff>
                <xdr:row>14</xdr:row>
                <xdr:rowOff>104775</xdr:rowOff>
              </from>
              <to>
                <xdr:col>6</xdr:col>
                <xdr:colOff>638175</xdr:colOff>
                <xdr:row>16</xdr:row>
                <xdr:rowOff>133350</xdr:rowOff>
              </to>
            </anchor>
          </objectPr>
        </oleObject>
      </mc:Choice>
      <mc:Fallback>
        <oleObject progId="Equation.3" shapeId="1056" r:id="rId6"/>
      </mc:Fallback>
    </mc:AlternateContent>
    <mc:AlternateContent xmlns:mc="http://schemas.openxmlformats.org/markup-compatibility/2006">
      <mc:Choice Requires="x14">
        <oleObject progId="Equation.3" shapeId="1061" r:id="rId8">
          <objectPr defaultSize="0" r:id="rId9">
            <anchor moveWithCells="1">
              <from>
                <xdr:col>8</xdr:col>
                <xdr:colOff>390525</xdr:colOff>
                <xdr:row>3</xdr:row>
                <xdr:rowOff>0</xdr:rowOff>
              </from>
              <to>
                <xdr:col>12</xdr:col>
                <xdr:colOff>0</xdr:colOff>
                <xdr:row>4</xdr:row>
                <xdr:rowOff>57150</xdr:rowOff>
              </to>
            </anchor>
          </objectPr>
        </oleObject>
      </mc:Choice>
      <mc:Fallback>
        <oleObject progId="Equation.3" shapeId="1061" r:id="rId8"/>
      </mc:Fallback>
    </mc:AlternateContent>
    <mc:AlternateContent xmlns:mc="http://schemas.openxmlformats.org/markup-compatibility/2006">
      <mc:Choice Requires="x14">
        <oleObject progId="Equation.3" shapeId="1062" r:id="rId10">
          <objectPr defaultSize="0" autoPict="0" r:id="rId11">
            <anchor moveWithCells="1">
              <from>
                <xdr:col>4</xdr:col>
                <xdr:colOff>76200</xdr:colOff>
                <xdr:row>8</xdr:row>
                <xdr:rowOff>66675</xdr:rowOff>
              </from>
              <to>
                <xdr:col>6</xdr:col>
                <xdr:colOff>619125</xdr:colOff>
                <xdr:row>10</xdr:row>
                <xdr:rowOff>152400</xdr:rowOff>
              </to>
            </anchor>
          </objectPr>
        </oleObject>
      </mc:Choice>
      <mc:Fallback>
        <oleObject progId="Equation.3" shapeId="1062" r:id="rId10"/>
      </mc:Fallback>
    </mc:AlternateContent>
    <mc:AlternateContent xmlns:mc="http://schemas.openxmlformats.org/markup-compatibility/2006">
      <mc:Choice Requires="x14">
        <oleObject progId="Equation.3" shapeId="1063" r:id="rId12">
          <objectPr defaultSize="0" autoPict="0" r:id="rId13">
            <anchor moveWithCells="1">
              <from>
                <xdr:col>9</xdr:col>
                <xdr:colOff>323850</xdr:colOff>
                <xdr:row>5</xdr:row>
                <xdr:rowOff>9525</xdr:rowOff>
              </from>
              <to>
                <xdr:col>11</xdr:col>
                <xdr:colOff>628650</xdr:colOff>
                <xdr:row>6</xdr:row>
                <xdr:rowOff>76200</xdr:rowOff>
              </to>
            </anchor>
          </objectPr>
        </oleObject>
      </mc:Choice>
      <mc:Fallback>
        <oleObject progId="Equation.3" shapeId="1063" r:id="rId12"/>
      </mc:Fallback>
    </mc:AlternateContent>
    <mc:AlternateContent xmlns:mc="http://schemas.openxmlformats.org/markup-compatibility/2006">
      <mc:Choice Requires="x14">
        <oleObject progId="Equation.3" shapeId="1064" r:id="rId14">
          <objectPr defaultSize="0" autoPict="0" r:id="rId15">
            <anchor moveWithCells="1">
              <from>
                <xdr:col>9</xdr:col>
                <xdr:colOff>457200</xdr:colOff>
                <xdr:row>6</xdr:row>
                <xdr:rowOff>66675</xdr:rowOff>
              </from>
              <to>
                <xdr:col>11</xdr:col>
                <xdr:colOff>628650</xdr:colOff>
                <xdr:row>9</xdr:row>
                <xdr:rowOff>9525</xdr:rowOff>
              </to>
            </anchor>
          </objectPr>
        </oleObject>
      </mc:Choice>
      <mc:Fallback>
        <oleObject progId="Equation.3" shapeId="1064" r:id="rId14"/>
      </mc:Fallback>
    </mc:AlternateContent>
    <mc:AlternateContent xmlns:mc="http://schemas.openxmlformats.org/markup-compatibility/2006">
      <mc:Choice Requires="x14">
        <oleObject progId="Equation.3" shapeId="1066" r:id="rId16">
          <objectPr defaultSize="0" autoPict="0" r:id="rId17">
            <anchor moveWithCells="1">
              <from>
                <xdr:col>10</xdr:col>
                <xdr:colOff>133350</xdr:colOff>
                <xdr:row>9</xdr:row>
                <xdr:rowOff>66675</xdr:rowOff>
              </from>
              <to>
                <xdr:col>11</xdr:col>
                <xdr:colOff>638175</xdr:colOff>
                <xdr:row>11</xdr:row>
                <xdr:rowOff>152400</xdr:rowOff>
              </to>
            </anchor>
          </objectPr>
        </oleObject>
      </mc:Choice>
      <mc:Fallback>
        <oleObject progId="Equation.3" shapeId="1066" r:id="rId16"/>
      </mc:Fallback>
    </mc:AlternateContent>
    <mc:AlternateContent xmlns:mc="http://schemas.openxmlformats.org/markup-compatibility/2006">
      <mc:Choice Requires="x14">
        <oleObject progId="Equation.3" shapeId="1067" r:id="rId18">
          <objectPr defaultSize="0" autoPict="0" r:id="rId19">
            <anchor moveWithCells="1">
              <from>
                <xdr:col>10</xdr:col>
                <xdr:colOff>171450</xdr:colOff>
                <xdr:row>12</xdr:row>
                <xdr:rowOff>66675</xdr:rowOff>
              </from>
              <to>
                <xdr:col>12</xdr:col>
                <xdr:colOff>0</xdr:colOff>
                <xdr:row>14</xdr:row>
                <xdr:rowOff>114300</xdr:rowOff>
              </to>
            </anchor>
          </objectPr>
        </oleObject>
      </mc:Choice>
      <mc:Fallback>
        <oleObject progId="Equation.3" shapeId="1067" r:id="rId18"/>
      </mc:Fallback>
    </mc:AlternateContent>
    <mc:AlternateContent xmlns:mc="http://schemas.openxmlformats.org/markup-compatibility/2006">
      <mc:Choice Requires="x14">
        <oleObject progId="Equation.3" shapeId="1068" r:id="rId20">
          <objectPr defaultSize="0" autoPict="0" r:id="rId21">
            <anchor moveWithCells="1">
              <from>
                <xdr:col>9</xdr:col>
                <xdr:colOff>390525</xdr:colOff>
                <xdr:row>15</xdr:row>
                <xdr:rowOff>161925</xdr:rowOff>
              </from>
              <to>
                <xdr:col>11</xdr:col>
                <xdr:colOff>638175</xdr:colOff>
                <xdr:row>16</xdr:row>
                <xdr:rowOff>180975</xdr:rowOff>
              </to>
            </anchor>
          </objectPr>
        </oleObject>
      </mc:Choice>
      <mc:Fallback>
        <oleObject progId="Equation.3" shapeId="1068" r:id="rId20"/>
      </mc:Fallback>
    </mc:AlternateContent>
    <mc:AlternateContent xmlns:mc="http://schemas.openxmlformats.org/markup-compatibility/2006">
      <mc:Choice Requires="x14">
        <oleObject progId="Equation.3" shapeId="1095" r:id="rId22">
          <objectPr defaultSize="0" autoPict="0" r:id="rId23">
            <anchor moveWithCells="1">
              <from>
                <xdr:col>4</xdr:col>
                <xdr:colOff>9525</xdr:colOff>
                <xdr:row>1</xdr:row>
                <xdr:rowOff>47625</xdr:rowOff>
              </from>
              <to>
                <xdr:col>6</xdr:col>
                <xdr:colOff>638175</xdr:colOff>
                <xdr:row>3</xdr:row>
                <xdr:rowOff>152400</xdr:rowOff>
              </to>
            </anchor>
          </objectPr>
        </oleObject>
      </mc:Choice>
      <mc:Fallback>
        <oleObject progId="Equation.3" shapeId="1095" r:id="rId22"/>
      </mc:Fallback>
    </mc:AlternateContent>
    <mc:AlternateContent xmlns:mc="http://schemas.openxmlformats.org/markup-compatibility/2006">
      <mc:Choice Requires="x14">
        <oleObject progId="Equation.3" shapeId="1096" r:id="rId24">
          <objectPr defaultSize="0" autoPict="0" r:id="rId25">
            <anchor moveWithCells="1">
              <from>
                <xdr:col>4</xdr:col>
                <xdr:colOff>142875</xdr:colOff>
                <xdr:row>11</xdr:row>
                <xdr:rowOff>19050</xdr:rowOff>
              </from>
              <to>
                <xdr:col>6</xdr:col>
                <xdr:colOff>628650</xdr:colOff>
                <xdr:row>13</xdr:row>
                <xdr:rowOff>142875</xdr:rowOff>
              </to>
            </anchor>
          </objectPr>
        </oleObject>
      </mc:Choice>
      <mc:Fallback>
        <oleObject progId="Equation.3" shapeId="1096" r:id="rId24"/>
      </mc:Fallback>
    </mc:AlternateContent>
    <mc:AlternateContent xmlns:mc="http://schemas.openxmlformats.org/markup-compatibility/2006">
      <mc:Choice Requires="x14">
        <oleObject progId="Equation.3" shapeId="1097" r:id="rId26">
          <objectPr defaultSize="0" autoPict="0" r:id="rId27">
            <anchor moveWithCells="1">
              <from>
                <xdr:col>9</xdr:col>
                <xdr:colOff>457200</xdr:colOff>
                <xdr:row>0</xdr:row>
                <xdr:rowOff>171450</xdr:rowOff>
              </from>
              <to>
                <xdr:col>12</xdr:col>
                <xdr:colOff>0</xdr:colOff>
                <xdr:row>2</xdr:row>
                <xdr:rowOff>47625</xdr:rowOff>
              </to>
            </anchor>
          </objectPr>
        </oleObject>
      </mc:Choice>
      <mc:Fallback>
        <oleObject progId="Equation.3" shapeId="1097" r:id="rId2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O97"/>
  <sheetViews>
    <sheetView zoomScaleNormal="100" workbookViewId="0">
      <selection activeCell="AC13" sqref="AC13"/>
    </sheetView>
  </sheetViews>
  <sheetFormatPr baseColWidth="10" defaultColWidth="6.7109375" defaultRowHeight="15" x14ac:dyDescent="0.25"/>
  <cols>
    <col min="6" max="6" width="6.7109375" customWidth="1"/>
    <col min="13" max="14" width="6.7109375" customWidth="1"/>
  </cols>
  <sheetData>
    <row r="2" spans="2:15" x14ac:dyDescent="0.25"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2:15" x14ac:dyDescent="0.25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2:15" ht="18" x14ac:dyDescent="0.25">
      <c r="B4" s="96"/>
      <c r="C4" s="96"/>
      <c r="D4" s="96"/>
      <c r="E4" s="96"/>
      <c r="F4" s="96"/>
      <c r="G4" s="96"/>
      <c r="H4" s="96"/>
      <c r="I4" s="96"/>
      <c r="J4" s="96"/>
      <c r="K4" s="97" t="s">
        <v>323</v>
      </c>
      <c r="L4" s="99">
        <v>62.6</v>
      </c>
      <c r="M4" s="264" t="s">
        <v>324</v>
      </c>
      <c r="N4" s="96"/>
    </row>
    <row r="5" spans="2:15" ht="18" x14ac:dyDescent="0.25">
      <c r="B5" s="96"/>
      <c r="C5" s="96"/>
      <c r="D5" s="96"/>
      <c r="E5" s="96"/>
      <c r="F5" s="96"/>
      <c r="G5" s="96"/>
      <c r="H5" s="96"/>
      <c r="I5" s="96"/>
      <c r="J5" s="386" t="s">
        <v>322</v>
      </c>
      <c r="K5" s="386"/>
      <c r="L5" s="386"/>
      <c r="M5" s="96"/>
      <c r="N5" s="96"/>
    </row>
    <row r="6" spans="2:15" x14ac:dyDescent="0.25">
      <c r="B6" s="262"/>
      <c r="C6" s="262"/>
      <c r="D6" s="262"/>
      <c r="E6" s="262"/>
      <c r="F6" s="262"/>
      <c r="G6" s="262"/>
      <c r="H6" s="262"/>
      <c r="I6" s="262"/>
      <c r="J6" s="387" t="s">
        <v>238</v>
      </c>
      <c r="K6" s="388"/>
      <c r="L6" s="87" t="s">
        <v>324</v>
      </c>
      <c r="M6" s="1">
        <v>9</v>
      </c>
      <c r="N6" s="262"/>
    </row>
    <row r="7" spans="2:15" x14ac:dyDescent="0.25">
      <c r="B7" s="262"/>
      <c r="C7" s="262"/>
      <c r="D7" s="262"/>
      <c r="E7" s="262"/>
      <c r="F7" s="262"/>
      <c r="G7" s="262"/>
      <c r="H7" s="262"/>
      <c r="I7" s="262"/>
      <c r="J7" s="385">
        <f>L7/1000000000</f>
        <v>0</v>
      </c>
      <c r="K7" s="385"/>
      <c r="L7" s="263">
        <v>0</v>
      </c>
      <c r="M7" s="262"/>
      <c r="N7" s="262"/>
    </row>
    <row r="8" spans="2:15" x14ac:dyDescent="0.25">
      <c r="B8" s="262"/>
      <c r="C8" s="262"/>
      <c r="D8" s="262"/>
      <c r="E8" s="60" t="s">
        <v>315</v>
      </c>
      <c r="F8" s="389">
        <v>5778</v>
      </c>
      <c r="G8" s="389"/>
      <c r="H8" s="85" t="s">
        <v>316</v>
      </c>
      <c r="I8" s="262"/>
      <c r="J8" s="385">
        <f t="shared" ref="J8:J47" si="0">L8/1000000000</f>
        <v>6.2600000000000005E-8</v>
      </c>
      <c r="K8" s="385"/>
      <c r="L8" s="263">
        <f>L7+$L$4</f>
        <v>62.6</v>
      </c>
      <c r="M8" s="61">
        <f t="shared" ref="M8:M39" si="1">((($F$14/J8^5)*(1/(EXP($F$16/(J8*$F$8))-1)))/$F$9^2)*10^$M$6</f>
        <v>4.6133049536828006E-11</v>
      </c>
      <c r="N8" s="61">
        <f t="shared" ref="N8:N47" si="2">$L$4*(M8+M7)/2</f>
        <v>1.4439644505027166E-9</v>
      </c>
    </row>
    <row r="9" spans="2:15" x14ac:dyDescent="0.25">
      <c r="B9" s="262"/>
      <c r="C9" s="262">
        <v>1</v>
      </c>
      <c r="D9" s="262"/>
      <c r="E9" s="60" t="s">
        <v>325</v>
      </c>
      <c r="F9" s="384">
        <f>149597870700*C9</f>
        <v>149597870700</v>
      </c>
      <c r="G9" s="384"/>
      <c r="H9" s="85" t="s">
        <v>258</v>
      </c>
      <c r="I9" s="262"/>
      <c r="J9" s="385">
        <f t="shared" si="0"/>
        <v>1.2520000000000001E-7</v>
      </c>
      <c r="K9" s="385"/>
      <c r="L9" s="263">
        <f t="shared" ref="L9:L72" si="3">L8+$L$4</f>
        <v>125.2</v>
      </c>
      <c r="M9" s="61">
        <f t="shared" si="1"/>
        <v>6.2591951819801375E-4</v>
      </c>
      <c r="N9" s="61">
        <f t="shared" si="2"/>
        <v>1.9591282363562283E-2</v>
      </c>
    </row>
    <row r="10" spans="2:15" x14ac:dyDescent="0.25">
      <c r="B10" s="262"/>
      <c r="C10" s="262"/>
      <c r="D10" s="262"/>
      <c r="E10" s="60" t="s">
        <v>95</v>
      </c>
      <c r="F10" s="389">
        <v>299792458</v>
      </c>
      <c r="G10" s="389"/>
      <c r="H10" s="85" t="s">
        <v>251</v>
      </c>
      <c r="I10" s="262"/>
      <c r="J10" s="385">
        <f t="shared" si="0"/>
        <v>1.878E-7</v>
      </c>
      <c r="K10" s="385"/>
      <c r="L10" s="263">
        <f>L9+$L$4</f>
        <v>187.8</v>
      </c>
      <c r="M10" s="61">
        <f t="shared" si="1"/>
        <v>6.2413958087137768E-2</v>
      </c>
      <c r="N10" s="61">
        <f>$L$4*(M10+M9)/2</f>
        <v>1.9731481690470098</v>
      </c>
    </row>
    <row r="11" spans="2:15" x14ac:dyDescent="0.25">
      <c r="B11" s="262"/>
      <c r="C11" s="262"/>
      <c r="D11" s="262"/>
      <c r="E11" s="60" t="s">
        <v>72</v>
      </c>
      <c r="F11" s="385">
        <f>6.62606957*10^-34</f>
        <v>6.6260695700000013E-34</v>
      </c>
      <c r="G11" s="385"/>
      <c r="H11" s="85" t="s">
        <v>319</v>
      </c>
      <c r="I11" s="262"/>
      <c r="J11" s="385">
        <f t="shared" si="0"/>
        <v>2.5040000000000002E-7</v>
      </c>
      <c r="K11" s="385"/>
      <c r="L11" s="263">
        <f t="shared" si="3"/>
        <v>250.4</v>
      </c>
      <c r="M11" s="61">
        <f t="shared" si="1"/>
        <v>0.40758436164359668</v>
      </c>
      <c r="N11" s="61">
        <f t="shared" si="2"/>
        <v>14.710947407571989</v>
      </c>
    </row>
    <row r="12" spans="2:15" x14ac:dyDescent="0.25">
      <c r="B12" s="262"/>
      <c r="C12" s="262"/>
      <c r="D12" s="262"/>
      <c r="E12" s="60" t="s">
        <v>317</v>
      </c>
      <c r="F12" s="385">
        <f>1.3806488*10^-23</f>
        <v>1.3806488E-23</v>
      </c>
      <c r="G12" s="385"/>
      <c r="H12" s="85" t="s">
        <v>320</v>
      </c>
      <c r="J12" s="385">
        <f t="shared" si="0"/>
        <v>3.1300000000000001E-7</v>
      </c>
      <c r="K12" s="385"/>
      <c r="L12" s="263">
        <f>L11+$L$4</f>
        <v>313</v>
      </c>
      <c r="M12" s="61">
        <f t="shared" si="1"/>
        <v>0.9762579181076243</v>
      </c>
      <c r="N12" s="61">
        <f>$L$4*(M12+M11)/2</f>
        <v>43.314263356213218</v>
      </c>
      <c r="O12" s="280"/>
    </row>
    <row r="13" spans="2:15" x14ac:dyDescent="0.25">
      <c r="B13" s="262"/>
      <c r="C13" s="262"/>
      <c r="D13" s="262"/>
      <c r="E13" s="262"/>
      <c r="F13" s="262"/>
      <c r="I13" s="262"/>
      <c r="J13" s="385">
        <f t="shared" si="0"/>
        <v>3.756E-7</v>
      </c>
      <c r="K13" s="385"/>
      <c r="L13" s="263">
        <f t="shared" si="3"/>
        <v>375.6</v>
      </c>
      <c r="M13" s="61">
        <f t="shared" si="1"/>
        <v>1.4788484825223633</v>
      </c>
      <c r="N13" s="61">
        <f t="shared" si="2"/>
        <v>76.844830339718612</v>
      </c>
    </row>
    <row r="14" spans="2:15" x14ac:dyDescent="0.25">
      <c r="B14" s="262"/>
      <c r="C14" s="262"/>
      <c r="D14" s="262"/>
      <c r="E14" s="262"/>
      <c r="F14" s="385">
        <f>PI()*F11*F10^2</f>
        <v>1.8708857623320647E-16</v>
      </c>
      <c r="G14" s="388"/>
      <c r="H14" s="85" t="s">
        <v>318</v>
      </c>
      <c r="I14" s="262"/>
      <c r="J14" s="385">
        <f t="shared" si="0"/>
        <v>4.3820000000000005E-7</v>
      </c>
      <c r="K14" s="385"/>
      <c r="L14" s="263">
        <f t="shared" si="3"/>
        <v>438.20000000000005</v>
      </c>
      <c r="M14" s="61">
        <f t="shared" si="1"/>
        <v>1.76772217075357</v>
      </c>
      <c r="N14" s="61">
        <f t="shared" si="2"/>
        <v>101.6176614475367</v>
      </c>
    </row>
    <row r="15" spans="2:15" x14ac:dyDescent="0.25">
      <c r="B15" s="262"/>
      <c r="C15" s="262"/>
      <c r="D15" s="262"/>
      <c r="E15" s="262"/>
      <c r="F15" s="262"/>
      <c r="G15" s="262"/>
      <c r="H15" s="262"/>
      <c r="I15" s="262"/>
      <c r="J15" s="385">
        <f t="shared" si="0"/>
        <v>5.0080000000000004E-7</v>
      </c>
      <c r="K15" s="385"/>
      <c r="L15" s="263">
        <f t="shared" si="3"/>
        <v>500.80000000000007</v>
      </c>
      <c r="M15" s="61">
        <f t="shared" si="1"/>
        <v>1.8513131147739581</v>
      </c>
      <c r="N15" s="61">
        <f t="shared" si="2"/>
        <v>113.27580443701163</v>
      </c>
    </row>
    <row r="16" spans="2:15" x14ac:dyDescent="0.25">
      <c r="B16" s="262"/>
      <c r="C16" s="262"/>
      <c r="D16" s="262"/>
      <c r="E16" s="262"/>
      <c r="F16" s="385">
        <f>F11*F10/F12</f>
        <v>1.438776959983816E-2</v>
      </c>
      <c r="G16" s="385"/>
      <c r="H16" s="85" t="s">
        <v>321</v>
      </c>
      <c r="I16" s="262"/>
      <c r="J16" s="385">
        <f t="shared" si="0"/>
        <v>5.6340000000000008E-7</v>
      </c>
      <c r="K16" s="385"/>
      <c r="L16" s="263">
        <f t="shared" si="3"/>
        <v>563.40000000000009</v>
      </c>
      <c r="M16" s="61">
        <f t="shared" si="1"/>
        <v>1.7942890386907695</v>
      </c>
      <c r="N16" s="61">
        <f t="shared" si="2"/>
        <v>114.10734740344597</v>
      </c>
    </row>
    <row r="17" spans="2:14" x14ac:dyDescent="0.25">
      <c r="B17" s="262"/>
      <c r="C17" s="262"/>
      <c r="D17" s="262"/>
      <c r="E17" s="262"/>
      <c r="F17" s="262"/>
      <c r="G17" s="262"/>
      <c r="H17" s="262"/>
      <c r="I17" s="262"/>
      <c r="J17" s="385">
        <f t="shared" si="0"/>
        <v>6.2600000000000013E-7</v>
      </c>
      <c r="K17" s="385"/>
      <c r="L17" s="263">
        <f t="shared" si="3"/>
        <v>626.00000000000011</v>
      </c>
      <c r="M17" s="61">
        <f t="shared" si="1"/>
        <v>1.6596009662725149</v>
      </c>
      <c r="N17" s="61">
        <f t="shared" si="2"/>
        <v>108.10675715535081</v>
      </c>
    </row>
    <row r="18" spans="2:14" x14ac:dyDescent="0.25">
      <c r="B18" s="262"/>
      <c r="C18" s="262"/>
      <c r="D18" s="262"/>
      <c r="E18" s="390"/>
      <c r="F18" s="391"/>
      <c r="G18" s="392"/>
      <c r="H18" s="265"/>
      <c r="I18" s="262"/>
      <c r="J18" s="385">
        <f t="shared" si="0"/>
        <v>6.8860000000000017E-7</v>
      </c>
      <c r="K18" s="385"/>
      <c r="L18" s="263">
        <f t="shared" si="3"/>
        <v>688.60000000000014</v>
      </c>
      <c r="M18" s="61">
        <f t="shared" si="1"/>
        <v>1.491813095461429</v>
      </c>
      <c r="N18" s="61">
        <f t="shared" si="2"/>
        <v>98.639260132272454</v>
      </c>
    </row>
    <row r="19" spans="2:14" x14ac:dyDescent="0.25">
      <c r="B19" s="262"/>
      <c r="C19" s="262"/>
      <c r="D19" s="262"/>
      <c r="E19" s="266" t="s">
        <v>326</v>
      </c>
      <c r="F19" s="267">
        <f>SUM(N8:N87)</f>
        <v>1404.6626650754295</v>
      </c>
      <c r="G19" s="268" t="s">
        <v>327</v>
      </c>
      <c r="H19" s="265"/>
      <c r="I19" s="262"/>
      <c r="J19" s="385">
        <f t="shared" si="0"/>
        <v>7.5120000000000011E-7</v>
      </c>
      <c r="K19" s="385"/>
      <c r="L19" s="263">
        <f t="shared" si="3"/>
        <v>751.20000000000016</v>
      </c>
      <c r="M19" s="61">
        <f t="shared" si="1"/>
        <v>1.3179093741731791</v>
      </c>
      <c r="N19" s="61">
        <f t="shared" si="2"/>
        <v>87.944313299563248</v>
      </c>
    </row>
    <row r="20" spans="2:14" x14ac:dyDescent="0.25">
      <c r="B20" s="262"/>
      <c r="C20" s="262"/>
      <c r="D20" s="262"/>
      <c r="E20" s="368"/>
      <c r="F20" s="372"/>
      <c r="G20" s="369"/>
      <c r="H20" s="265"/>
      <c r="I20" s="262"/>
      <c r="J20" s="385">
        <f t="shared" si="0"/>
        <v>8.1380000000000015E-7</v>
      </c>
      <c r="K20" s="385"/>
      <c r="L20" s="263">
        <f t="shared" si="3"/>
        <v>813.80000000000018</v>
      </c>
      <c r="M20" s="61">
        <f t="shared" si="1"/>
        <v>1.1523840258046942</v>
      </c>
      <c r="N20" s="61">
        <f t="shared" si="2"/>
        <v>77.32018341930744</v>
      </c>
    </row>
    <row r="21" spans="2:14" x14ac:dyDescent="0.25">
      <c r="B21" s="262"/>
      <c r="C21" s="262"/>
      <c r="D21" s="262"/>
      <c r="E21" s="262"/>
      <c r="F21" s="262"/>
      <c r="G21" s="262"/>
      <c r="H21" s="262"/>
      <c r="I21" s="262"/>
      <c r="J21" s="385">
        <f t="shared" si="0"/>
        <v>8.764000000000002E-7</v>
      </c>
      <c r="K21" s="385"/>
      <c r="L21" s="263">
        <f t="shared" si="3"/>
        <v>876.4000000000002</v>
      </c>
      <c r="M21" s="61">
        <f t="shared" si="1"/>
        <v>1.0019468864783001</v>
      </c>
      <c r="N21" s="61">
        <f t="shared" si="2"/>
        <v>67.430557554457721</v>
      </c>
    </row>
    <row r="22" spans="2:14" x14ac:dyDescent="0.25">
      <c r="B22" s="262"/>
      <c r="C22" s="262"/>
      <c r="D22" s="262"/>
      <c r="E22" s="60" t="s">
        <v>328</v>
      </c>
      <c r="F22" s="385">
        <v>2.8977682899999999E-3</v>
      </c>
      <c r="G22" s="385"/>
      <c r="H22" s="85" t="s">
        <v>321</v>
      </c>
      <c r="I22" s="262"/>
      <c r="J22" s="385">
        <f t="shared" si="0"/>
        <v>9.3900000000000024E-7</v>
      </c>
      <c r="K22" s="385"/>
      <c r="L22" s="263">
        <f t="shared" si="3"/>
        <v>939.00000000000023</v>
      </c>
      <c r="M22" s="61">
        <f t="shared" si="1"/>
        <v>0.86884227041173379</v>
      </c>
      <c r="N22" s="61">
        <f t="shared" si="2"/>
        <v>58.555700610658064</v>
      </c>
    </row>
    <row r="23" spans="2:14" ht="15" customHeight="1" x14ac:dyDescent="0.25">
      <c r="B23" s="262"/>
      <c r="C23" s="262"/>
      <c r="D23" s="262"/>
      <c r="E23" s="393" t="s">
        <v>329</v>
      </c>
      <c r="F23" s="385">
        <f>F22/F8</f>
        <v>5.0151753028729668E-7</v>
      </c>
      <c r="G23" s="388"/>
      <c r="H23" s="262"/>
      <c r="I23" s="262"/>
      <c r="J23" s="385">
        <f t="shared" si="0"/>
        <v>1.0016000000000003E-6</v>
      </c>
      <c r="K23" s="385"/>
      <c r="L23" s="263">
        <f t="shared" si="3"/>
        <v>1001.6000000000003</v>
      </c>
      <c r="M23" s="61">
        <f t="shared" si="1"/>
        <v>0.75293696858559811</v>
      </c>
      <c r="N23" s="61">
        <f t="shared" si="2"/>
        <v>50.761690180616483</v>
      </c>
    </row>
    <row r="24" spans="2:14" x14ac:dyDescent="0.25">
      <c r="B24" s="262"/>
      <c r="C24" s="262"/>
      <c r="D24" s="262"/>
      <c r="E24" s="393"/>
      <c r="F24" s="389">
        <f>F23*1000000000</f>
        <v>501.51753028729667</v>
      </c>
      <c r="G24" s="389"/>
      <c r="H24" s="262"/>
      <c r="I24" s="262"/>
      <c r="J24" s="385">
        <f t="shared" si="0"/>
        <v>1.0642000000000003E-6</v>
      </c>
      <c r="K24" s="385"/>
      <c r="L24" s="263">
        <f t="shared" si="3"/>
        <v>1064.2000000000003</v>
      </c>
      <c r="M24" s="61">
        <f t="shared" si="1"/>
        <v>0.65295025249763483</v>
      </c>
      <c r="N24" s="61">
        <f t="shared" si="2"/>
        <v>44.004270019905192</v>
      </c>
    </row>
    <row r="25" spans="2:14" x14ac:dyDescent="0.25">
      <c r="B25" s="262"/>
      <c r="C25" s="262"/>
      <c r="D25" s="262"/>
      <c r="E25" s="262"/>
      <c r="F25" s="262"/>
      <c r="G25" s="262"/>
      <c r="H25" s="262"/>
      <c r="I25" s="262"/>
      <c r="J25" s="385">
        <f t="shared" si="0"/>
        <v>1.1268000000000002E-6</v>
      </c>
      <c r="K25" s="385"/>
      <c r="L25" s="263">
        <f t="shared" si="3"/>
        <v>1126.8000000000002</v>
      </c>
      <c r="M25" s="61">
        <f t="shared" si="1"/>
        <v>0.5671434471364194</v>
      </c>
      <c r="N25" s="61">
        <f t="shared" si="2"/>
        <v>38.188932798545892</v>
      </c>
    </row>
    <row r="26" spans="2:14" x14ac:dyDescent="0.25">
      <c r="B26" s="262"/>
      <c r="C26" s="262"/>
      <c r="D26" s="262"/>
      <c r="E26" s="262">
        <f>(F9/F10)/60</f>
        <v>8.3167463972692737</v>
      </c>
      <c r="F26" s="262"/>
      <c r="G26" s="262"/>
      <c r="H26" s="262"/>
      <c r="I26" s="262"/>
      <c r="J26" s="385">
        <f t="shared" si="0"/>
        <v>1.1894E-6</v>
      </c>
      <c r="K26" s="385"/>
      <c r="L26" s="263">
        <f t="shared" si="3"/>
        <v>1189.4000000000001</v>
      </c>
      <c r="M26" s="61">
        <f t="shared" si="1"/>
        <v>0.49368742552506456</v>
      </c>
      <c r="N26" s="61">
        <f t="shared" si="2"/>
        <v>33.204006314304443</v>
      </c>
    </row>
    <row r="27" spans="2:14" x14ac:dyDescent="0.25">
      <c r="B27" s="262"/>
      <c r="C27" s="262"/>
      <c r="D27" s="262"/>
      <c r="E27" s="262"/>
      <c r="F27" s="262"/>
      <c r="G27" s="262"/>
      <c r="H27" s="262"/>
      <c r="I27" s="262"/>
      <c r="J27" s="385">
        <f t="shared" si="0"/>
        <v>1.252E-6</v>
      </c>
      <c r="K27" s="385"/>
      <c r="L27" s="263">
        <f t="shared" si="3"/>
        <v>1252</v>
      </c>
      <c r="M27" s="61">
        <f t="shared" si="1"/>
        <v>0.43084518305672709</v>
      </c>
      <c r="N27" s="61">
        <f t="shared" si="2"/>
        <v>28.93787064861008</v>
      </c>
    </row>
    <row r="28" spans="2:14" x14ac:dyDescent="0.25">
      <c r="B28" s="262"/>
      <c r="C28" s="262"/>
      <c r="D28" s="262"/>
      <c r="E28" s="262"/>
      <c r="F28" s="262"/>
      <c r="G28" s="262"/>
      <c r="H28" s="262"/>
      <c r="I28" s="262"/>
      <c r="J28" s="385">
        <f t="shared" si="0"/>
        <v>1.3145999999999999E-6</v>
      </c>
      <c r="K28" s="385"/>
      <c r="L28" s="263">
        <f t="shared" si="3"/>
        <v>1314.6</v>
      </c>
      <c r="M28" s="61">
        <f t="shared" si="1"/>
        <v>0.37705161144164423</v>
      </c>
      <c r="N28" s="61">
        <f t="shared" si="2"/>
        <v>25.28716966779902</v>
      </c>
    </row>
    <row r="29" spans="2:14" x14ac:dyDescent="0.25">
      <c r="B29" s="262"/>
      <c r="C29" s="262"/>
      <c r="D29" s="262"/>
      <c r="E29" s="262"/>
      <c r="F29" s="262"/>
      <c r="G29" s="262"/>
      <c r="H29" s="262"/>
      <c r="I29" s="262"/>
      <c r="J29" s="385">
        <f t="shared" si="0"/>
        <v>1.3771999999999999E-6</v>
      </c>
      <c r="K29" s="385"/>
      <c r="L29" s="263">
        <f t="shared" si="3"/>
        <v>1377.1999999999998</v>
      </c>
      <c r="M29" s="61">
        <f t="shared" si="1"/>
        <v>0.33093818307567252</v>
      </c>
      <c r="N29" s="61">
        <f t="shared" si="2"/>
        <v>22.160080568392015</v>
      </c>
    </row>
    <row r="30" spans="2:14" x14ac:dyDescent="0.25">
      <c r="B30" s="262"/>
      <c r="C30" s="262"/>
      <c r="D30" s="262"/>
      <c r="E30" s="262"/>
      <c r="F30" s="262"/>
      <c r="G30" s="262"/>
      <c r="H30" s="262"/>
      <c r="I30" s="262"/>
      <c r="J30" s="385">
        <f t="shared" si="0"/>
        <v>1.4397999999999998E-6</v>
      </c>
      <c r="K30" s="385"/>
      <c r="L30" s="263">
        <f t="shared" si="3"/>
        <v>1439.7999999999997</v>
      </c>
      <c r="M30" s="61">
        <f t="shared" si="1"/>
        <v>0.29132963588036281</v>
      </c>
      <c r="N30" s="61">
        <f t="shared" si="2"/>
        <v>19.476982733323908</v>
      </c>
    </row>
    <row r="31" spans="2:14" x14ac:dyDescent="0.25">
      <c r="B31" s="262"/>
      <c r="C31" s="262"/>
      <c r="D31" s="262"/>
      <c r="E31" s="262"/>
      <c r="F31" s="262"/>
      <c r="G31" s="262"/>
      <c r="H31" s="262"/>
      <c r="I31" s="262"/>
      <c r="J31" s="385">
        <f t="shared" si="0"/>
        <v>1.5023999999999996E-6</v>
      </c>
      <c r="K31" s="385"/>
      <c r="L31" s="263">
        <f t="shared" si="3"/>
        <v>1502.3999999999996</v>
      </c>
      <c r="M31" s="61">
        <f t="shared" si="1"/>
        <v>0.25722769868183609</v>
      </c>
      <c r="N31" s="61">
        <f t="shared" si="2"/>
        <v>17.169844571796826</v>
      </c>
    </row>
    <row r="32" spans="2:14" x14ac:dyDescent="0.25">
      <c r="B32" s="262"/>
      <c r="C32" s="262"/>
      <c r="D32" s="262"/>
      <c r="E32" s="262"/>
      <c r="F32" s="262"/>
      <c r="G32" s="262"/>
      <c r="H32" s="262"/>
      <c r="I32" s="262"/>
      <c r="J32" s="385">
        <f t="shared" si="0"/>
        <v>1.5649999999999996E-6</v>
      </c>
      <c r="K32" s="385"/>
      <c r="L32" s="263">
        <f t="shared" si="3"/>
        <v>1564.9999999999995</v>
      </c>
      <c r="M32" s="61">
        <f t="shared" si="1"/>
        <v>0.22778997774393697</v>
      </c>
      <c r="N32" s="61">
        <f t="shared" si="2"/>
        <v>15.181053272126698</v>
      </c>
    </row>
    <row r="33" spans="2:14" x14ac:dyDescent="0.25">
      <c r="B33" s="262"/>
      <c r="C33" s="262"/>
      <c r="D33" s="262"/>
      <c r="E33" s="262"/>
      <c r="F33" s="262"/>
      <c r="G33" s="262"/>
      <c r="H33" s="262"/>
      <c r="I33" s="262"/>
      <c r="J33" s="385">
        <f t="shared" si="0"/>
        <v>1.6275999999999995E-6</v>
      </c>
      <c r="K33" s="385"/>
      <c r="L33" s="263">
        <f t="shared" si="3"/>
        <v>1627.5999999999995</v>
      </c>
      <c r="M33" s="61">
        <f t="shared" si="1"/>
        <v>0.20230821093649032</v>
      </c>
      <c r="N33" s="61">
        <f t="shared" si="2"/>
        <v>13.462073305697373</v>
      </c>
    </row>
    <row r="34" spans="2:14" x14ac:dyDescent="0.25">
      <c r="B34" s="262"/>
      <c r="C34" s="262"/>
      <c r="D34" s="262"/>
      <c r="E34" s="262"/>
      <c r="F34" s="262"/>
      <c r="G34" s="262"/>
      <c r="H34" s="262"/>
      <c r="I34" s="262"/>
      <c r="J34" s="385">
        <f t="shared" si="0"/>
        <v>1.6901999999999993E-6</v>
      </c>
      <c r="K34" s="385"/>
      <c r="L34" s="263">
        <f t="shared" si="3"/>
        <v>1690.1999999999994</v>
      </c>
      <c r="M34" s="61">
        <f t="shared" si="1"/>
        <v>0.18018791799080972</v>
      </c>
      <c r="N34" s="61">
        <f t="shared" si="2"/>
        <v>11.97212883542449</v>
      </c>
    </row>
    <row r="35" spans="2:14" x14ac:dyDescent="0.25">
      <c r="B35" s="262"/>
      <c r="C35" s="262"/>
      <c r="D35" s="262"/>
      <c r="E35" s="262"/>
      <c r="F35" s="262"/>
      <c r="G35" s="262"/>
      <c r="H35" s="262"/>
      <c r="I35" s="262"/>
      <c r="J35" s="385">
        <f t="shared" si="0"/>
        <v>1.7527999999999993E-6</v>
      </c>
      <c r="K35" s="385"/>
      <c r="L35" s="263">
        <f t="shared" si="3"/>
        <v>1752.7999999999993</v>
      </c>
      <c r="M35" s="61">
        <f t="shared" si="1"/>
        <v>0.1609302895996407</v>
      </c>
      <c r="N35" s="61">
        <f t="shared" si="2"/>
        <v>10.676999897581098</v>
      </c>
    </row>
    <row r="36" spans="2:14" x14ac:dyDescent="0.25">
      <c r="B36" s="262"/>
      <c r="C36" s="262"/>
      <c r="D36" s="262"/>
      <c r="E36" s="262"/>
      <c r="F36" s="262"/>
      <c r="G36" s="262"/>
      <c r="H36" s="262"/>
      <c r="I36" s="262"/>
      <c r="J36" s="385">
        <f t="shared" si="0"/>
        <v>1.8153999999999992E-6</v>
      </c>
      <c r="K36" s="385"/>
      <c r="L36" s="263">
        <f t="shared" si="3"/>
        <v>1815.3999999999992</v>
      </c>
      <c r="M36" s="61">
        <f t="shared" si="1"/>
        <v>0.1441165338367035</v>
      </c>
      <c r="N36" s="61">
        <f t="shared" si="2"/>
        <v>9.5479655735575744</v>
      </c>
    </row>
    <row r="37" spans="2:14" x14ac:dyDescent="0.25">
      <c r="B37" s="262"/>
      <c r="C37" s="262"/>
      <c r="D37" s="262"/>
      <c r="E37" s="262"/>
      <c r="F37" s="262"/>
      <c r="G37" s="262"/>
      <c r="H37" s="262"/>
      <c r="I37" s="262"/>
      <c r="J37" s="385">
        <f t="shared" si="0"/>
        <v>1.877999999999999E-6</v>
      </c>
      <c r="K37" s="385"/>
      <c r="L37" s="263">
        <f t="shared" si="3"/>
        <v>1877.9999999999991</v>
      </c>
      <c r="M37" s="61">
        <f t="shared" si="1"/>
        <v>0.12939458776562029</v>
      </c>
      <c r="N37" s="61">
        <f t="shared" si="2"/>
        <v>8.5608981061527363</v>
      </c>
    </row>
    <row r="38" spans="2:14" x14ac:dyDescent="0.25">
      <c r="B38" s="262"/>
      <c r="C38" s="262"/>
      <c r="D38" s="262"/>
      <c r="E38" s="262"/>
      <c r="F38" s="262"/>
      <c r="G38" s="262"/>
      <c r="H38" s="262"/>
      <c r="I38" s="262"/>
      <c r="J38" s="385">
        <f t="shared" si="0"/>
        <v>1.9405999999999988E-6</v>
      </c>
      <c r="K38" s="385"/>
      <c r="L38" s="263">
        <f t="shared" si="3"/>
        <v>1940.599999999999</v>
      </c>
      <c r="M38" s="61">
        <f t="shared" si="1"/>
        <v>0.11646796368668613</v>
      </c>
      <c r="N38" s="61">
        <f t="shared" si="2"/>
        <v>7.6954978604571913</v>
      </c>
    </row>
    <row r="39" spans="2:14" x14ac:dyDescent="0.25">
      <c r="B39" s="262"/>
      <c r="C39" s="262"/>
      <c r="D39" s="262"/>
      <c r="E39" s="262"/>
      <c r="F39" s="262"/>
      <c r="G39" s="262"/>
      <c r="H39" s="262"/>
      <c r="I39" s="262"/>
      <c r="J39" s="385">
        <f t="shared" si="0"/>
        <v>2.0031999999999989E-6</v>
      </c>
      <c r="K39" s="385"/>
      <c r="L39" s="263">
        <f t="shared" si="3"/>
        <v>2003.1999999999989</v>
      </c>
      <c r="M39" s="61">
        <f t="shared" si="1"/>
        <v>0.10508645300422638</v>
      </c>
      <c r="N39" s="61">
        <f t="shared" si="2"/>
        <v>6.9346532424255622</v>
      </c>
    </row>
    <row r="40" spans="2:14" x14ac:dyDescent="0.25">
      <c r="B40" s="262"/>
      <c r="C40" s="262"/>
      <c r="D40" s="262"/>
      <c r="E40" s="262"/>
      <c r="F40" s="262"/>
      <c r="G40" s="262"/>
      <c r="H40" s="262"/>
      <c r="I40" s="262"/>
      <c r="J40" s="385">
        <f t="shared" si="0"/>
        <v>2.0657999999999989E-6</v>
      </c>
      <c r="K40" s="385"/>
      <c r="L40" s="263">
        <f t="shared" si="3"/>
        <v>2065.7999999999988</v>
      </c>
      <c r="M40" s="61">
        <f t="shared" ref="M40:M71" si="4">((($F$14/J40^5)*(1/(EXP($F$16/(J40*$F$8))-1)))/$F$9^2)*10^$M$6</f>
        <v>9.5038411139096571E-2</v>
      </c>
      <c r="N40" s="61">
        <f t="shared" si="2"/>
        <v>6.2639082476860084</v>
      </c>
    </row>
    <row r="41" spans="2:14" x14ac:dyDescent="0.25">
      <c r="B41" s="262"/>
      <c r="C41" s="262"/>
      <c r="D41" s="262"/>
      <c r="E41" s="262"/>
      <c r="F41" s="262"/>
      <c r="G41" s="262"/>
      <c r="H41" s="262"/>
      <c r="I41" s="262"/>
      <c r="J41" s="385">
        <f t="shared" si="0"/>
        <v>2.1283999999999985E-6</v>
      </c>
      <c r="K41" s="385"/>
      <c r="L41" s="263">
        <f t="shared" si="3"/>
        <v>2128.3999999999987</v>
      </c>
      <c r="M41" s="61">
        <f t="shared" si="4"/>
        <v>8.614436933235399E-2</v>
      </c>
      <c r="N41" s="61">
        <f t="shared" si="2"/>
        <v>5.6710210287564022</v>
      </c>
    </row>
    <row r="42" spans="2:14" x14ac:dyDescent="0.25">
      <c r="B42" s="262"/>
      <c r="C42" s="262"/>
      <c r="D42" s="262"/>
      <c r="E42" s="262"/>
      <c r="F42" s="262"/>
      <c r="G42" s="262"/>
      <c r="H42" s="262"/>
      <c r="I42" s="262"/>
      <c r="J42" s="385">
        <f t="shared" si="0"/>
        <v>2.1909999999999986E-6</v>
      </c>
      <c r="K42" s="385"/>
      <c r="L42" s="263">
        <f t="shared" si="3"/>
        <v>2190.9999999999986</v>
      </c>
      <c r="M42" s="61">
        <f t="shared" si="4"/>
        <v>7.8251750106174855E-2</v>
      </c>
      <c r="N42" s="61">
        <f t="shared" si="2"/>
        <v>5.1455985384259524</v>
      </c>
    </row>
    <row r="43" spans="2:14" x14ac:dyDescent="0.25">
      <c r="B43" s="262"/>
      <c r="C43" s="262"/>
      <c r="D43" s="262"/>
      <c r="E43" s="262"/>
      <c r="F43" s="262"/>
      <c r="G43" s="262"/>
      <c r="H43" s="262"/>
      <c r="I43" s="262"/>
      <c r="J43" s="385">
        <f t="shared" si="0"/>
        <v>2.2535999999999986E-6</v>
      </c>
      <c r="K43" s="385"/>
      <c r="L43" s="263">
        <f t="shared" si="3"/>
        <v>2253.5999999999985</v>
      </c>
      <c r="M43" s="61">
        <f t="shared" si="4"/>
        <v>7.1230495547117023E-2</v>
      </c>
      <c r="N43" s="61">
        <f t="shared" si="2"/>
        <v>4.6787942889480361</v>
      </c>
    </row>
    <row r="44" spans="2:14" x14ac:dyDescent="0.25">
      <c r="B44" s="262"/>
      <c r="C44" s="262"/>
      <c r="D44" s="262"/>
      <c r="E44" s="262"/>
      <c r="F44" s="262"/>
      <c r="G44" s="262"/>
      <c r="H44" s="262"/>
      <c r="I44" s="262"/>
      <c r="J44" s="385">
        <f t="shared" si="0"/>
        <v>2.3161999999999983E-6</v>
      </c>
      <c r="K44" s="385"/>
      <c r="L44" s="263">
        <f t="shared" si="3"/>
        <v>2316.1999999999985</v>
      </c>
      <c r="M44" s="61">
        <f t="shared" si="4"/>
        <v>6.4969448038361591E-2</v>
      </c>
      <c r="N44" s="61">
        <f t="shared" si="2"/>
        <v>4.2630582342254799</v>
      </c>
    </row>
    <row r="45" spans="2:14" x14ac:dyDescent="0.25">
      <c r="B45" s="262"/>
      <c r="C45" s="262"/>
      <c r="D45" s="262"/>
      <c r="E45" s="262"/>
      <c r="F45" s="262"/>
      <c r="G45" s="262"/>
      <c r="H45" s="262"/>
      <c r="I45" s="262"/>
      <c r="J45" s="385">
        <f t="shared" si="0"/>
        <v>2.3787999999999983E-6</v>
      </c>
      <c r="K45" s="385"/>
      <c r="L45" s="263">
        <f t="shared" si="3"/>
        <v>2378.7999999999984</v>
      </c>
      <c r="M45" s="61">
        <f t="shared" si="4"/>
        <v>5.9373350145605581E-2</v>
      </c>
      <c r="N45" s="61">
        <f t="shared" si="2"/>
        <v>3.8919295831581726</v>
      </c>
    </row>
    <row r="46" spans="2:14" x14ac:dyDescent="0.25">
      <c r="B46" s="262"/>
      <c r="C46" s="262"/>
      <c r="D46" s="262"/>
      <c r="E46" s="262"/>
      <c r="F46" s="262"/>
      <c r="G46" s="262"/>
      <c r="H46" s="262"/>
      <c r="I46" s="262"/>
      <c r="J46" s="385">
        <f t="shared" si="0"/>
        <v>2.4413999999999983E-6</v>
      </c>
      <c r="K46" s="385"/>
      <c r="L46" s="263">
        <f t="shared" si="3"/>
        <v>2441.3999999999983</v>
      </c>
      <c r="M46" s="61">
        <f t="shared" si="4"/>
        <v>5.43603536537791E-2</v>
      </c>
      <c r="N46" s="61">
        <f t="shared" si="2"/>
        <v>3.5598649289207409</v>
      </c>
    </row>
    <row r="47" spans="2:14" x14ac:dyDescent="0.25">
      <c r="B47" s="262"/>
      <c r="C47" s="262"/>
      <c r="D47" s="262"/>
      <c r="E47" s="262"/>
      <c r="F47" s="262"/>
      <c r="G47" s="262"/>
      <c r="H47" s="262"/>
      <c r="I47" s="262"/>
      <c r="J47" s="385">
        <f t="shared" si="0"/>
        <v>2.5039999999999984E-6</v>
      </c>
      <c r="K47" s="385"/>
      <c r="L47" s="263">
        <f t="shared" si="3"/>
        <v>2503.9999999999982</v>
      </c>
      <c r="M47" s="61">
        <f t="shared" si="4"/>
        <v>4.985994738019249E-2</v>
      </c>
      <c r="N47" s="61">
        <f t="shared" si="2"/>
        <v>3.262095422363311</v>
      </c>
    </row>
    <row r="48" spans="2:14" x14ac:dyDescent="0.25">
      <c r="J48" s="385">
        <f t="shared" ref="J48:J87" si="5">L48/1000000000</f>
        <v>2.566599999999998E-6</v>
      </c>
      <c r="K48" s="385"/>
      <c r="L48" s="278">
        <f t="shared" si="3"/>
        <v>2566.5999999999981</v>
      </c>
      <c r="M48" s="61">
        <f t="shared" si="4"/>
        <v>4.5811229711621833E-2</v>
      </c>
      <c r="N48" s="61">
        <f t="shared" ref="N48:N87" si="6">$L$4*(M48+M47)/2</f>
        <v>2.9945078429737886</v>
      </c>
    </row>
    <row r="49" spans="10:14" x14ac:dyDescent="0.25">
      <c r="J49" s="385">
        <f t="shared" si="5"/>
        <v>2.6291999999999981E-6</v>
      </c>
      <c r="K49" s="385"/>
      <c r="L49" s="278">
        <f t="shared" si="3"/>
        <v>2629.199999999998</v>
      </c>
      <c r="M49" s="61">
        <f t="shared" si="4"/>
        <v>4.2161465267191806E-2</v>
      </c>
      <c r="N49" s="61">
        <f t="shared" si="6"/>
        <v>2.7535453528368667</v>
      </c>
    </row>
    <row r="50" spans="10:14" x14ac:dyDescent="0.25">
      <c r="J50" s="385">
        <f t="shared" si="5"/>
        <v>2.6917999999999981E-6</v>
      </c>
      <c r="K50" s="385"/>
      <c r="L50" s="278">
        <f t="shared" si="3"/>
        <v>2691.7999999999979</v>
      </c>
      <c r="M50" s="61">
        <f t="shared" si="4"/>
        <v>3.8864876116756715E-2</v>
      </c>
      <c r="N50" s="61">
        <f t="shared" si="6"/>
        <v>2.5361244853175884</v>
      </c>
    </row>
    <row r="51" spans="10:14" x14ac:dyDescent="0.25">
      <c r="J51" s="385">
        <f t="shared" si="5"/>
        <v>2.7543999999999977E-6</v>
      </c>
      <c r="K51" s="385"/>
      <c r="L51" s="278">
        <f t="shared" si="3"/>
        <v>2754.3999999999978</v>
      </c>
      <c r="M51" s="61">
        <f t="shared" si="4"/>
        <v>3.5881626991337651E-2</v>
      </c>
      <c r="N51" s="61">
        <f t="shared" si="6"/>
        <v>2.3395655472833536</v>
      </c>
    </row>
    <row r="52" spans="10:14" x14ac:dyDescent="0.25">
      <c r="J52" s="385">
        <f t="shared" si="5"/>
        <v>2.8169999999999978E-6</v>
      </c>
      <c r="K52" s="385"/>
      <c r="L52" s="278">
        <f t="shared" si="3"/>
        <v>2816.9999999999977</v>
      </c>
      <c r="M52" s="61">
        <f t="shared" si="4"/>
        <v>3.3176971263378874E-2</v>
      </c>
      <c r="N52" s="61">
        <f t="shared" si="6"/>
        <v>2.1615341253726275</v>
      </c>
    </row>
    <row r="53" spans="10:14" x14ac:dyDescent="0.25">
      <c r="J53" s="385">
        <f t="shared" si="5"/>
        <v>2.8795999999999978E-6</v>
      </c>
      <c r="K53" s="385"/>
      <c r="L53" s="278">
        <f t="shared" si="3"/>
        <v>2879.5999999999976</v>
      </c>
      <c r="M53" s="61">
        <f t="shared" si="4"/>
        <v>3.0720530452495443E-2</v>
      </c>
      <c r="N53" s="61">
        <f t="shared" si="6"/>
        <v>1.999991803706866</v>
      </c>
    </row>
    <row r="54" spans="10:14" x14ac:dyDescent="0.25">
      <c r="J54" s="385">
        <f t="shared" si="5"/>
        <v>2.9421999999999974E-6</v>
      </c>
      <c r="K54" s="385"/>
      <c r="L54" s="278">
        <f t="shared" si="3"/>
        <v>2942.1999999999975</v>
      </c>
      <c r="M54" s="61">
        <f t="shared" si="4"/>
        <v>2.8485684879512772E-2</v>
      </c>
      <c r="N54" s="61">
        <f t="shared" si="6"/>
        <v>1.8531545398918572</v>
      </c>
    </row>
    <row r="55" spans="10:14" x14ac:dyDescent="0.25">
      <c r="J55" s="385">
        <f t="shared" si="5"/>
        <v>3.0047999999999975E-6</v>
      </c>
      <c r="K55" s="385"/>
      <c r="L55" s="278">
        <f t="shared" si="3"/>
        <v>3004.7999999999975</v>
      </c>
      <c r="M55" s="61">
        <f t="shared" si="4"/>
        <v>2.6449057056223069E-2</v>
      </c>
      <c r="N55" s="61">
        <f t="shared" si="6"/>
        <v>1.719457422588532</v>
      </c>
    </row>
    <row r="56" spans="10:14" x14ac:dyDescent="0.25">
      <c r="J56" s="385">
        <f t="shared" si="5"/>
        <v>3.0673999999999975E-6</v>
      </c>
      <c r="K56" s="385"/>
      <c r="L56" s="278">
        <f t="shared" si="3"/>
        <v>3067.3999999999974</v>
      </c>
      <c r="M56" s="61">
        <f t="shared" si="4"/>
        <v>2.4590072630770381E-2</v>
      </c>
      <c r="N56" s="61">
        <f t="shared" si="6"/>
        <v>1.5975247592028949</v>
      </c>
    </row>
    <row r="57" spans="10:14" x14ac:dyDescent="0.25">
      <c r="J57" s="385">
        <f t="shared" si="5"/>
        <v>3.1299999999999971E-6</v>
      </c>
      <c r="K57" s="385"/>
      <c r="L57" s="278">
        <f t="shared" si="3"/>
        <v>3129.9999999999973</v>
      </c>
      <c r="M57" s="61">
        <f t="shared" si="4"/>
        <v>2.2890586347503565E-2</v>
      </c>
      <c r="N57" s="61">
        <f t="shared" si="6"/>
        <v>1.4861446260199744</v>
      </c>
    </row>
    <row r="58" spans="10:14" x14ac:dyDescent="0.25">
      <c r="J58" s="385">
        <f t="shared" si="5"/>
        <v>3.1925999999999972E-6</v>
      </c>
      <c r="K58" s="385"/>
      <c r="L58" s="278">
        <f t="shared" si="3"/>
        <v>3192.5999999999972</v>
      </c>
      <c r="M58" s="61">
        <f t="shared" si="4"/>
        <v>2.1334562637834561E-2</v>
      </c>
      <c r="N58" s="61">
        <f t="shared" si="6"/>
        <v>1.3842471632410833</v>
      </c>
    </row>
    <row r="59" spans="10:14" x14ac:dyDescent="0.25">
      <c r="J59" s="385">
        <f t="shared" si="5"/>
        <v>3.2551999999999972E-6</v>
      </c>
      <c r="K59" s="385"/>
      <c r="L59" s="278">
        <f t="shared" si="3"/>
        <v>3255.1999999999971</v>
      </c>
      <c r="M59" s="61">
        <f t="shared" si="4"/>
        <v>1.9907802225941715E-2</v>
      </c>
      <c r="N59" s="61">
        <f t="shared" si="6"/>
        <v>1.2908860202361976</v>
      </c>
    </row>
    <row r="60" spans="10:14" x14ac:dyDescent="0.25">
      <c r="J60" s="385">
        <f t="shared" si="5"/>
        <v>3.3177999999999968E-6</v>
      </c>
      <c r="K60" s="385"/>
      <c r="L60" s="278">
        <f t="shared" si="3"/>
        <v>3317.799999999997</v>
      </c>
      <c r="M60" s="61">
        <f t="shared" si="4"/>
        <v>1.859770758344987E-2</v>
      </c>
      <c r="N60" s="61">
        <f t="shared" si="6"/>
        <v>1.2052224570339567</v>
      </c>
    </row>
    <row r="61" spans="10:14" x14ac:dyDescent="0.25">
      <c r="J61" s="385">
        <f t="shared" si="5"/>
        <v>3.3803999999999969E-6</v>
      </c>
      <c r="K61" s="385"/>
      <c r="L61" s="278">
        <f t="shared" si="3"/>
        <v>3380.3999999999969</v>
      </c>
      <c r="M61" s="61">
        <f t="shared" si="4"/>
        <v>1.7393081259756478E-2</v>
      </c>
      <c r="N61" s="61">
        <f t="shared" si="6"/>
        <v>1.1265116907923587</v>
      </c>
    </row>
    <row r="62" spans="10:14" x14ac:dyDescent="0.25">
      <c r="J62" s="385">
        <f t="shared" si="5"/>
        <v>3.4429999999999969E-6</v>
      </c>
      <c r="K62" s="385"/>
      <c r="L62" s="278">
        <f t="shared" si="3"/>
        <v>3442.9999999999968</v>
      </c>
      <c r="M62" s="61">
        <f t="shared" si="4"/>
        <v>1.6283952097314092E-2</v>
      </c>
      <c r="N62" s="61">
        <f t="shared" si="6"/>
        <v>1.0540911440763088</v>
      </c>
    </row>
    <row r="63" spans="10:14" x14ac:dyDescent="0.25">
      <c r="J63" s="385">
        <f t="shared" si="5"/>
        <v>3.5055999999999966E-6</v>
      </c>
      <c r="K63" s="385"/>
      <c r="L63" s="278">
        <f t="shared" si="3"/>
        <v>3505.5999999999967</v>
      </c>
      <c r="M63" s="61">
        <f t="shared" si="4"/>
        <v>1.5261425152608683E-2</v>
      </c>
      <c r="N63" s="61">
        <f t="shared" si="6"/>
        <v>0.98737030792258296</v>
      </c>
    </row>
    <row r="64" spans="10:14" x14ac:dyDescent="0.25">
      <c r="J64" s="385">
        <f t="shared" si="5"/>
        <v>3.5681999999999966E-6</v>
      </c>
      <c r="K64" s="385"/>
      <c r="L64" s="278">
        <f t="shared" si="3"/>
        <v>3568.1999999999966</v>
      </c>
      <c r="M64" s="61">
        <f t="shared" si="4"/>
        <v>1.4317551815085089E-2</v>
      </c>
      <c r="N64" s="61">
        <f t="shared" si="6"/>
        <v>0.92582197908881514</v>
      </c>
    </row>
    <row r="65" spans="10:14" x14ac:dyDescent="0.25">
      <c r="J65" s="385">
        <f t="shared" si="5"/>
        <v>3.6307999999999966E-6</v>
      </c>
      <c r="K65" s="385"/>
      <c r="L65" s="278">
        <f t="shared" si="3"/>
        <v>3630.7999999999965</v>
      </c>
      <c r="M65" s="61">
        <f t="shared" si="4"/>
        <v>1.3445217173219379E-2</v>
      </c>
      <c r="N65" s="61">
        <f t="shared" si="6"/>
        <v>0.86897466933392986</v>
      </c>
    </row>
    <row r="66" spans="10:14" x14ac:dyDescent="0.25">
      <c r="J66" s="385">
        <f t="shared" si="5"/>
        <v>3.6933999999999963E-6</v>
      </c>
      <c r="K66" s="385"/>
      <c r="L66" s="278">
        <f t="shared" si="3"/>
        <v>3693.3999999999965</v>
      </c>
      <c r="M66" s="61">
        <f t="shared" si="4"/>
        <v>1.2638042139891245E-2</v>
      </c>
      <c r="N66" s="61">
        <f t="shared" si="6"/>
        <v>0.8164060165003626</v>
      </c>
    </row>
    <row r="67" spans="10:14" x14ac:dyDescent="0.25">
      <c r="J67" s="385">
        <f t="shared" si="5"/>
        <v>3.7559999999999963E-6</v>
      </c>
      <c r="K67" s="385"/>
      <c r="L67" s="278">
        <f t="shared" si="3"/>
        <v>3755.9999999999964</v>
      </c>
      <c r="M67" s="61">
        <f t="shared" si="4"/>
        <v>1.1890298234886283E-2</v>
      </c>
      <c r="N67" s="61">
        <f t="shared" si="6"/>
        <v>0.76773705373053658</v>
      </c>
    </row>
    <row r="68" spans="10:14" x14ac:dyDescent="0.25">
      <c r="J68" s="385">
        <f t="shared" si="5"/>
        <v>3.8185999999999959E-6</v>
      </c>
      <c r="K68" s="385"/>
      <c r="L68" s="278">
        <f t="shared" si="3"/>
        <v>3818.5999999999963</v>
      </c>
      <c r="M68" s="61">
        <f t="shared" si="4"/>
        <v>1.1196833244365987E-2</v>
      </c>
      <c r="N68" s="61">
        <f t="shared" si="6"/>
        <v>0.72262721530059604</v>
      </c>
    </row>
    <row r="69" spans="10:14" x14ac:dyDescent="0.25">
      <c r="J69" s="385">
        <f t="shared" si="5"/>
        <v>3.881199999999996E-6</v>
      </c>
      <c r="K69" s="385"/>
      <c r="L69" s="278">
        <f t="shared" si="3"/>
        <v>3881.1999999999962</v>
      </c>
      <c r="M69" s="61">
        <f t="shared" si="4"/>
        <v>1.0553006246583721E-2</v>
      </c>
      <c r="N69" s="61">
        <f t="shared" si="6"/>
        <v>0.68076997606672585</v>
      </c>
    </row>
    <row r="70" spans="10:14" x14ac:dyDescent="0.25">
      <c r="J70" s="385">
        <f t="shared" si="5"/>
        <v>3.943799999999996E-6</v>
      </c>
      <c r="K70" s="385"/>
      <c r="L70" s="278">
        <f t="shared" si="3"/>
        <v>3943.7999999999961</v>
      </c>
      <c r="M70" s="61">
        <f t="shared" si="4"/>
        <v>9.9546307190705209E-3</v>
      </c>
      <c r="N70" s="61">
        <f t="shared" si="6"/>
        <v>0.64188903702497768</v>
      </c>
    </row>
    <row r="71" spans="10:14" x14ac:dyDescent="0.25">
      <c r="J71" s="385">
        <f t="shared" si="5"/>
        <v>4.0063999999999961E-6</v>
      </c>
      <c r="K71" s="385"/>
      <c r="L71" s="278">
        <f t="shared" si="3"/>
        <v>4006.399999999996</v>
      </c>
      <c r="M71" s="61">
        <f t="shared" si="4"/>
        <v>9.3979246323944183E-3</v>
      </c>
      <c r="N71" s="61">
        <f t="shared" si="6"/>
        <v>0.60573498250085267</v>
      </c>
    </row>
    <row r="72" spans="10:14" x14ac:dyDescent="0.25">
      <c r="J72" s="385">
        <f t="shared" si="5"/>
        <v>4.0689999999999961E-6</v>
      </c>
      <c r="K72" s="385"/>
      <c r="L72" s="278">
        <f t="shared" si="3"/>
        <v>4068.9999999999959</v>
      </c>
      <c r="M72" s="61">
        <f t="shared" ref="M72:M87" si="7">((($F$14/J72^5)*(1/(EXP($F$16/(J72*$F$8))-1)))/$F$9^2)*10^$M$6</f>
        <v>8.8794665955068373E-3</v>
      </c>
      <c r="N72" s="61">
        <f t="shared" si="6"/>
        <v>0.57208234543330938</v>
      </c>
    </row>
    <row r="73" spans="10:14" x14ac:dyDescent="0.25">
      <c r="J73" s="385">
        <f t="shared" si="5"/>
        <v>4.1315999999999962E-6</v>
      </c>
      <c r="K73" s="385"/>
      <c r="L73" s="278">
        <f t="shared" ref="L73:L87" si="8">L72+$L$4</f>
        <v>4131.5999999999958</v>
      </c>
      <c r="M73" s="61">
        <f t="shared" si="7"/>
        <v>8.3961572526435307E-3</v>
      </c>
      <c r="N73" s="61">
        <f t="shared" si="6"/>
        <v>0.54072702644710646</v>
      </c>
    </row>
    <row r="74" spans="10:14" x14ac:dyDescent="0.25">
      <c r="J74" s="385">
        <f t="shared" si="5"/>
        <v>4.1941999999999962E-6</v>
      </c>
      <c r="K74" s="385"/>
      <c r="L74" s="278">
        <f t="shared" si="8"/>
        <v>4194.1999999999962</v>
      </c>
      <c r="M74" s="61">
        <f t="shared" si="7"/>
        <v>7.9451852458742953E-3</v>
      </c>
      <c r="N74" s="61">
        <f t="shared" si="6"/>
        <v>0.51148402020360795</v>
      </c>
    </row>
    <row r="75" spans="10:14" x14ac:dyDescent="0.25">
      <c r="J75" s="385">
        <f t="shared" si="5"/>
        <v>4.2567999999999962E-6</v>
      </c>
      <c r="K75" s="385"/>
      <c r="L75" s="278">
        <f t="shared" si="8"/>
        <v>4256.7999999999965</v>
      </c>
      <c r="M75" s="61">
        <f t="shared" si="7"/>
        <v>7.5239971541074552E-3</v>
      </c>
      <c r="N75" s="61">
        <f t="shared" si="6"/>
        <v>0.48418540911942881</v>
      </c>
    </row>
    <row r="76" spans="10:14" x14ac:dyDescent="0.25">
      <c r="J76" s="385">
        <f t="shared" si="5"/>
        <v>4.3193999999999971E-6</v>
      </c>
      <c r="K76" s="385"/>
      <c r="L76" s="278">
        <f t="shared" si="8"/>
        <v>4319.3999999999969</v>
      </c>
      <c r="M76" s="61">
        <f t="shared" si="7"/>
        <v>7.1302709014719849E-3</v>
      </c>
      <c r="N76" s="61">
        <f t="shared" si="6"/>
        <v>0.45867859013963647</v>
      </c>
    </row>
    <row r="77" spans="10:14" x14ac:dyDescent="0.25">
      <c r="J77" s="385">
        <f t="shared" si="5"/>
        <v>4.3819999999999972E-6</v>
      </c>
      <c r="K77" s="385"/>
      <c r="L77" s="278">
        <f t="shared" si="8"/>
        <v>4381.9999999999973</v>
      </c>
      <c r="M77" s="61">
        <f t="shared" si="7"/>
        <v>6.7618921978631549E-3</v>
      </c>
      <c r="N77" s="61">
        <f t="shared" si="6"/>
        <v>0.4348247050091899</v>
      </c>
    </row>
    <row r="78" spans="10:14" x14ac:dyDescent="0.25">
      <c r="J78" s="385">
        <f t="shared" si="5"/>
        <v>4.4445999999999972E-6</v>
      </c>
      <c r="K78" s="385"/>
      <c r="L78" s="278">
        <f t="shared" si="8"/>
        <v>4444.5999999999976</v>
      </c>
      <c r="M78" s="61">
        <f t="shared" si="7"/>
        <v>6.4169336339893121E-3</v>
      </c>
      <c r="N78" s="61">
        <f t="shared" si="6"/>
        <v>0.41249724853698222</v>
      </c>
    </row>
    <row r="79" spans="10:14" x14ac:dyDescent="0.25">
      <c r="J79" s="385">
        <f t="shared" si="5"/>
        <v>4.5071999999999981E-6</v>
      </c>
      <c r="K79" s="385"/>
      <c r="L79" s="278">
        <f t="shared" si="8"/>
        <v>4507.199999999998</v>
      </c>
      <c r="M79" s="61">
        <f t="shared" si="7"/>
        <v>6.0936361041169567E-3</v>
      </c>
      <c r="N79" s="61">
        <f t="shared" si="6"/>
        <v>0.39158083280272626</v>
      </c>
    </row>
    <row r="80" spans="10:14" x14ac:dyDescent="0.25">
      <c r="J80" s="385">
        <f t="shared" si="5"/>
        <v>4.5697999999999982E-6</v>
      </c>
      <c r="K80" s="385"/>
      <c r="L80" s="278">
        <f t="shared" si="8"/>
        <v>4569.7999999999984</v>
      </c>
      <c r="M80" s="61">
        <f t="shared" si="7"/>
        <v>5.7903922732276828E-3</v>
      </c>
      <c r="N80" s="61">
        <f t="shared" si="6"/>
        <v>0.37197008821088723</v>
      </c>
    </row>
    <row r="81" spans="10:14" x14ac:dyDescent="0.25">
      <c r="J81" s="385">
        <f t="shared" si="5"/>
        <v>4.632399999999999E-6</v>
      </c>
      <c r="K81" s="385"/>
      <c r="L81" s="278">
        <f t="shared" si="8"/>
        <v>4632.3999999999987</v>
      </c>
      <c r="M81" s="61">
        <f t="shared" si="7"/>
        <v>5.5057318426027938E-3</v>
      </c>
      <c r="N81" s="61">
        <f t="shared" si="6"/>
        <v>0.35356868482549392</v>
      </c>
    </row>
    <row r="82" spans="10:14" x14ac:dyDescent="0.25">
      <c r="J82" s="385">
        <f t="shared" si="5"/>
        <v>4.6949999999999991E-6</v>
      </c>
      <c r="K82" s="385"/>
      <c r="L82" s="278">
        <f t="shared" si="8"/>
        <v>4694.9999999999991</v>
      </c>
      <c r="M82" s="61">
        <f t="shared" si="7"/>
        <v>5.2383083998839928E-3</v>
      </c>
      <c r="N82" s="61">
        <f t="shared" si="6"/>
        <v>0.33628845958983644</v>
      </c>
    </row>
    <row r="83" spans="10:14" x14ac:dyDescent="0.25">
      <c r="J83" s="385">
        <f t="shared" si="5"/>
        <v>4.7575999999999991E-6</v>
      </c>
      <c r="K83" s="385"/>
      <c r="L83" s="278">
        <f t="shared" si="8"/>
        <v>4757.5999999999995</v>
      </c>
      <c r="M83" s="61">
        <f t="shared" si="7"/>
        <v>4.9868876672142532E-3</v>
      </c>
      <c r="N83" s="61">
        <f t="shared" si="6"/>
        <v>0.3200486369001751</v>
      </c>
    </row>
    <row r="84" spans="10:14" x14ac:dyDescent="0.25">
      <c r="J84" s="385">
        <f t="shared" si="5"/>
        <v>4.8202E-6</v>
      </c>
      <c r="K84" s="385"/>
      <c r="L84" s="278">
        <f t="shared" si="8"/>
        <v>4820.2</v>
      </c>
      <c r="M84" s="61">
        <f t="shared" si="7"/>
        <v>4.7503369848091344E-3</v>
      </c>
      <c r="N84" s="61">
        <f t="shared" si="6"/>
        <v>0.30477513160833203</v>
      </c>
    </row>
    <row r="85" spans="10:14" x14ac:dyDescent="0.25">
      <c r="J85" s="385">
        <f t="shared" si="5"/>
        <v>4.8828000000000001E-6</v>
      </c>
      <c r="K85" s="385"/>
      <c r="L85" s="278">
        <f t="shared" si="8"/>
        <v>4882.8</v>
      </c>
      <c r="M85" s="61">
        <f t="shared" si="7"/>
        <v>4.5276158878059195E-3</v>
      </c>
      <c r="N85" s="61">
        <f t="shared" si="6"/>
        <v>0.29039992491285122</v>
      </c>
    </row>
    <row r="86" spans="10:14" x14ac:dyDescent="0.25">
      <c r="J86" s="385">
        <f t="shared" si="5"/>
        <v>4.945400000000001E-6</v>
      </c>
      <c r="K86" s="385"/>
      <c r="L86" s="278">
        <f t="shared" si="8"/>
        <v>4945.4000000000005</v>
      </c>
      <c r="M86" s="61">
        <f t="shared" si="7"/>
        <v>4.3177676519606184E-3</v>
      </c>
      <c r="N86" s="61">
        <f t="shared" si="6"/>
        <v>0.27686050479469265</v>
      </c>
    </row>
    <row r="87" spans="10:14" x14ac:dyDescent="0.25">
      <c r="J87" s="385">
        <f t="shared" si="5"/>
        <v>5.008000000000001E-6</v>
      </c>
      <c r="K87" s="385"/>
      <c r="L87" s="278">
        <f t="shared" si="8"/>
        <v>5008.0000000000009</v>
      </c>
      <c r="M87" s="61">
        <f t="shared" si="7"/>
        <v>4.1199116991115867E-3</v>
      </c>
      <c r="N87" s="61">
        <f t="shared" si="6"/>
        <v>0.26409936368856007</v>
      </c>
    </row>
    <row r="88" spans="10:14" x14ac:dyDescent="0.25">
      <c r="J88" s="385"/>
      <c r="K88" s="385"/>
      <c r="L88" s="278"/>
      <c r="M88" s="61"/>
      <c r="N88" s="61"/>
    </row>
    <row r="89" spans="10:14" x14ac:dyDescent="0.25">
      <c r="J89" s="385"/>
      <c r="K89" s="385"/>
      <c r="L89" s="278"/>
      <c r="M89" s="61"/>
      <c r="N89" s="61"/>
    </row>
    <row r="90" spans="10:14" x14ac:dyDescent="0.25">
      <c r="J90" s="385"/>
      <c r="K90" s="385"/>
      <c r="L90" s="278"/>
      <c r="M90" s="61"/>
      <c r="N90" s="61"/>
    </row>
    <row r="91" spans="10:14" x14ac:dyDescent="0.25">
      <c r="J91" s="385"/>
      <c r="K91" s="385"/>
      <c r="L91" s="278"/>
      <c r="M91" s="61"/>
      <c r="N91" s="61"/>
    </row>
    <row r="92" spans="10:14" x14ac:dyDescent="0.25">
      <c r="J92" s="385"/>
      <c r="K92" s="385"/>
      <c r="L92" s="278"/>
      <c r="M92" s="61"/>
      <c r="N92" s="61"/>
    </row>
    <row r="93" spans="10:14" x14ac:dyDescent="0.25">
      <c r="J93" s="385"/>
      <c r="K93" s="385"/>
      <c r="L93" s="278"/>
      <c r="M93" s="61"/>
      <c r="N93" s="61"/>
    </row>
    <row r="94" spans="10:14" x14ac:dyDescent="0.25">
      <c r="J94" s="385"/>
      <c r="K94" s="385"/>
      <c r="L94" s="278"/>
      <c r="M94" s="61"/>
      <c r="N94" s="61"/>
    </row>
    <row r="95" spans="10:14" x14ac:dyDescent="0.25">
      <c r="J95" s="385"/>
      <c r="K95" s="385"/>
      <c r="L95" s="278"/>
      <c r="M95" s="61"/>
      <c r="N95" s="61"/>
    </row>
    <row r="96" spans="10:14" x14ac:dyDescent="0.25">
      <c r="J96" s="385"/>
      <c r="K96" s="385"/>
      <c r="L96" s="278"/>
      <c r="M96" s="61"/>
      <c r="N96" s="61"/>
    </row>
    <row r="97" spans="10:14" x14ac:dyDescent="0.25">
      <c r="J97" s="385"/>
      <c r="K97" s="385"/>
      <c r="L97" s="278"/>
      <c r="M97" s="61"/>
      <c r="N97" s="61"/>
    </row>
  </sheetData>
  <sheetProtection sheet="1" objects="1" scenarios="1"/>
  <mergeCells count="106"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5:K65"/>
    <mergeCell ref="J66:K66"/>
    <mergeCell ref="J67:K67"/>
    <mergeCell ref="J58:K58"/>
    <mergeCell ref="J59:K59"/>
    <mergeCell ref="J60:K60"/>
    <mergeCell ref="J61:K61"/>
    <mergeCell ref="J62:K62"/>
    <mergeCell ref="J73:K73"/>
    <mergeCell ref="J56:K56"/>
    <mergeCell ref="J57:K57"/>
    <mergeCell ref="J48:K48"/>
    <mergeCell ref="J49:K49"/>
    <mergeCell ref="J50:K50"/>
    <mergeCell ref="J51:K51"/>
    <mergeCell ref="J52:K52"/>
    <mergeCell ref="J63:K63"/>
    <mergeCell ref="J64:K64"/>
    <mergeCell ref="J47:K47"/>
    <mergeCell ref="J42:K42"/>
    <mergeCell ref="J43:K43"/>
    <mergeCell ref="J44:K44"/>
    <mergeCell ref="J32:K32"/>
    <mergeCell ref="J26:K26"/>
    <mergeCell ref="J53:K53"/>
    <mergeCell ref="J54:K54"/>
    <mergeCell ref="J55:K55"/>
    <mergeCell ref="J27:K27"/>
    <mergeCell ref="J28:K28"/>
    <mergeCell ref="J29:K29"/>
    <mergeCell ref="J30:K30"/>
    <mergeCell ref="J31:K31"/>
    <mergeCell ref="J45:K45"/>
    <mergeCell ref="J46:K46"/>
    <mergeCell ref="J39:K39"/>
    <mergeCell ref="J40:K40"/>
    <mergeCell ref="J41:K41"/>
    <mergeCell ref="J33:K33"/>
    <mergeCell ref="J34:K34"/>
    <mergeCell ref="J35:K35"/>
    <mergeCell ref="J36:K36"/>
    <mergeCell ref="J37:K37"/>
    <mergeCell ref="J38:K38"/>
    <mergeCell ref="J21:K21"/>
    <mergeCell ref="J22:K22"/>
    <mergeCell ref="J23:K23"/>
    <mergeCell ref="J24:K24"/>
    <mergeCell ref="J25:K25"/>
    <mergeCell ref="J17:K17"/>
    <mergeCell ref="E18:G18"/>
    <mergeCell ref="J18:K18"/>
    <mergeCell ref="J19:K19"/>
    <mergeCell ref="E20:G20"/>
    <mergeCell ref="J20:K20"/>
    <mergeCell ref="F22:G22"/>
    <mergeCell ref="F23:G23"/>
    <mergeCell ref="E23:E24"/>
    <mergeCell ref="F24:G24"/>
    <mergeCell ref="J15:K15"/>
    <mergeCell ref="F16:G16"/>
    <mergeCell ref="J16:K16"/>
    <mergeCell ref="F10:G10"/>
    <mergeCell ref="J10:K10"/>
    <mergeCell ref="F11:G11"/>
    <mergeCell ref="J11:K11"/>
    <mergeCell ref="F12:G12"/>
    <mergeCell ref="J12:K12"/>
    <mergeCell ref="F9:G9"/>
    <mergeCell ref="J9:K9"/>
    <mergeCell ref="J5:L5"/>
    <mergeCell ref="J6:K6"/>
    <mergeCell ref="J7:K7"/>
    <mergeCell ref="F8:G8"/>
    <mergeCell ref="J8:K8"/>
    <mergeCell ref="J13:K13"/>
    <mergeCell ref="F14:G14"/>
    <mergeCell ref="J14:K14"/>
  </mergeCells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152400</xdr:rowOff>
              </from>
              <to>
                <xdr:col>5</xdr:col>
                <xdr:colOff>390525</xdr:colOff>
                <xdr:row>4</xdr:row>
                <xdr:rowOff>114300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62" r:id="rId6">
          <objectPr defaultSize="0" autoPict="0" r:id="rId7">
            <anchor moveWithCells="1">
              <from>
                <xdr:col>2</xdr:col>
                <xdr:colOff>419100</xdr:colOff>
                <xdr:row>12</xdr:row>
                <xdr:rowOff>133350</xdr:rowOff>
              </from>
              <to>
                <xdr:col>4</xdr:col>
                <xdr:colOff>419100</xdr:colOff>
                <xdr:row>13</xdr:row>
                <xdr:rowOff>171450</xdr:rowOff>
              </to>
            </anchor>
          </objectPr>
        </oleObject>
      </mc:Choice>
      <mc:Fallback>
        <oleObject progId="Equation.3" shapeId="15362" r:id="rId6"/>
      </mc:Fallback>
    </mc:AlternateContent>
    <mc:AlternateContent xmlns:mc="http://schemas.openxmlformats.org/markup-compatibility/2006">
      <mc:Choice Requires="x14">
        <oleObject progId="Equation.3" shapeId="15363" r:id="rId8">
          <objectPr defaultSize="0" autoPict="0" r:id="rId9">
            <anchor moveWithCells="1">
              <from>
                <xdr:col>3</xdr:col>
                <xdr:colOff>371475</xdr:colOff>
                <xdr:row>14</xdr:row>
                <xdr:rowOff>76200</xdr:rowOff>
              </from>
              <to>
                <xdr:col>4</xdr:col>
                <xdr:colOff>438150</xdr:colOff>
                <xdr:row>16</xdr:row>
                <xdr:rowOff>123825</xdr:rowOff>
              </to>
            </anchor>
          </objectPr>
        </oleObject>
      </mc:Choice>
      <mc:Fallback>
        <oleObject progId="Equation.3" shapeId="15363" r:id="rId8"/>
      </mc:Fallback>
    </mc:AlternateContent>
    <mc:AlternateContent xmlns:mc="http://schemas.openxmlformats.org/markup-compatibility/2006">
      <mc:Choice Requires="x14">
        <oleObject progId="Equation.3" shapeId="15364" r:id="rId10">
          <objectPr defaultSize="0" r:id="rId11">
            <anchor moveWithCells="1">
              <from>
                <xdr:col>7</xdr:col>
                <xdr:colOff>9525</xdr:colOff>
                <xdr:row>3</xdr:row>
                <xdr:rowOff>104775</xdr:rowOff>
              </from>
              <to>
                <xdr:col>7</xdr:col>
                <xdr:colOff>390525</xdr:colOff>
                <xdr:row>5</xdr:row>
                <xdr:rowOff>152400</xdr:rowOff>
              </to>
            </anchor>
          </objectPr>
        </oleObject>
      </mc:Choice>
      <mc:Fallback>
        <oleObject progId="Equation.3" shapeId="15364" r:id="rId10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Y113"/>
  <sheetViews>
    <sheetView topLeftCell="B4" workbookViewId="0">
      <selection activeCell="T8" sqref="T8"/>
    </sheetView>
  </sheetViews>
  <sheetFormatPr baseColWidth="10" defaultColWidth="6.7109375" defaultRowHeight="15" customHeight="1" x14ac:dyDescent="0.25"/>
  <cols>
    <col min="5" max="5" width="6.7109375" style="269"/>
    <col min="6" max="6" width="8.28515625" bestFit="1" customWidth="1"/>
  </cols>
  <sheetData>
    <row r="2" spans="2:25" ht="15" customHeight="1" x14ac:dyDescent="0.25">
      <c r="U2" s="60"/>
      <c r="V2" s="273"/>
      <c r="W2" s="276"/>
      <c r="X2" s="273"/>
      <c r="Y2" s="273"/>
    </row>
    <row r="3" spans="2:25" ht="15" customHeight="1" x14ac:dyDescent="0.25">
      <c r="U3" s="273"/>
      <c r="V3" s="275"/>
      <c r="W3" s="273"/>
      <c r="X3" s="273"/>
      <c r="Y3" s="273"/>
    </row>
    <row r="4" spans="2:25" ht="15" customHeight="1" x14ac:dyDescent="0.25">
      <c r="B4" s="60" t="s">
        <v>312</v>
      </c>
      <c r="C4">
        <f>1/3</f>
        <v>0.33333333333333331</v>
      </c>
      <c r="D4" s="270" t="s">
        <v>332</v>
      </c>
      <c r="E4">
        <f>16/27</f>
        <v>0.59259259259259256</v>
      </c>
      <c r="U4" s="96"/>
      <c r="V4" s="274"/>
      <c r="W4" s="276"/>
      <c r="X4" s="276"/>
      <c r="Y4" s="96"/>
    </row>
    <row r="5" spans="2:25" ht="15" customHeight="1" x14ac:dyDescent="0.25">
      <c r="C5" s="271">
        <v>0.02</v>
      </c>
      <c r="U5" s="273"/>
      <c r="V5" s="65"/>
      <c r="W5" s="190"/>
      <c r="X5" s="190"/>
      <c r="Y5" s="277"/>
    </row>
    <row r="6" spans="2:25" s="96" customFormat="1" ht="15" customHeight="1" x14ac:dyDescent="0.25">
      <c r="C6" s="272" t="s">
        <v>330</v>
      </c>
      <c r="D6" s="270" t="s">
        <v>331</v>
      </c>
      <c r="E6" s="270" t="s">
        <v>356</v>
      </c>
      <c r="U6" s="273"/>
      <c r="V6" s="65"/>
      <c r="W6" s="190"/>
      <c r="X6" s="190"/>
      <c r="Y6" s="277"/>
    </row>
    <row r="7" spans="2:25" ht="15" customHeight="1" x14ac:dyDescent="0.25">
      <c r="C7" s="65">
        <v>0</v>
      </c>
      <c r="D7" s="190">
        <f>(1+C7-C7^2-C7^3)/2</f>
        <v>0.5</v>
      </c>
      <c r="E7" s="190">
        <f>$E$4</f>
        <v>0.59259259259259256</v>
      </c>
      <c r="F7" s="277">
        <f t="shared" ref="F7:F38" si="0">IF(C7&lt;$C$4,-1000000,IF(C7=$C$4,$E$4,1000000))</f>
        <v>-1000000</v>
      </c>
      <c r="U7" s="273"/>
      <c r="V7" s="65"/>
      <c r="W7" s="190"/>
      <c r="X7" s="190"/>
      <c r="Y7" s="277"/>
    </row>
    <row r="8" spans="2:25" ht="15" customHeight="1" x14ac:dyDescent="0.25">
      <c r="C8" s="65">
        <f>C7+$C$5</f>
        <v>0.02</v>
      </c>
      <c r="D8" s="190">
        <f t="shared" ref="D8:D58" si="1">(1+C8-C8^2-C8^3)/2</f>
        <v>0.50979600000000003</v>
      </c>
      <c r="E8" s="190">
        <f t="shared" ref="E8:E58" si="2">$E$4</f>
        <v>0.59259259259259256</v>
      </c>
      <c r="F8" s="277">
        <f t="shared" si="0"/>
        <v>-1000000</v>
      </c>
      <c r="U8" s="273"/>
      <c r="V8" s="65"/>
      <c r="W8" s="190"/>
      <c r="X8" s="190"/>
      <c r="Y8" s="277"/>
    </row>
    <row r="9" spans="2:25" ht="15" customHeight="1" x14ac:dyDescent="0.25">
      <c r="C9" s="65">
        <f t="shared" ref="C9:C58" si="3">C8+$C$5</f>
        <v>0.04</v>
      </c>
      <c r="D9" s="190">
        <f t="shared" si="1"/>
        <v>0.51916799999999996</v>
      </c>
      <c r="E9" s="190">
        <f t="shared" si="2"/>
        <v>0.59259259259259256</v>
      </c>
      <c r="F9" s="277">
        <f t="shared" si="0"/>
        <v>-1000000</v>
      </c>
      <c r="U9" s="273"/>
      <c r="V9" s="65"/>
      <c r="W9" s="190"/>
      <c r="X9" s="190"/>
      <c r="Y9" s="277"/>
    </row>
    <row r="10" spans="2:25" ht="15" customHeight="1" x14ac:dyDescent="0.25">
      <c r="C10" s="65">
        <f t="shared" si="3"/>
        <v>0.06</v>
      </c>
      <c r="D10" s="190">
        <f t="shared" si="1"/>
        <v>0.52809200000000001</v>
      </c>
      <c r="E10" s="190">
        <f t="shared" si="2"/>
        <v>0.59259259259259256</v>
      </c>
      <c r="F10" s="277">
        <f t="shared" si="0"/>
        <v>-1000000</v>
      </c>
      <c r="U10" s="273"/>
      <c r="V10" s="65"/>
      <c r="W10" s="190"/>
      <c r="X10" s="190"/>
      <c r="Y10" s="277"/>
    </row>
    <row r="11" spans="2:25" ht="15" customHeight="1" x14ac:dyDescent="0.25">
      <c r="C11" s="65">
        <f t="shared" si="3"/>
        <v>0.08</v>
      </c>
      <c r="D11" s="190">
        <f t="shared" si="1"/>
        <v>0.53654400000000002</v>
      </c>
      <c r="E11" s="190">
        <f t="shared" si="2"/>
        <v>0.59259259259259256</v>
      </c>
      <c r="F11" s="277">
        <f t="shared" si="0"/>
        <v>-1000000</v>
      </c>
      <c r="U11" s="273"/>
      <c r="V11" s="65"/>
      <c r="W11" s="190"/>
      <c r="X11" s="190"/>
      <c r="Y11" s="277"/>
    </row>
    <row r="12" spans="2:25" ht="15" customHeight="1" x14ac:dyDescent="0.25">
      <c r="C12" s="65">
        <f t="shared" si="3"/>
        <v>0.1</v>
      </c>
      <c r="D12" s="190">
        <f t="shared" si="1"/>
        <v>0.5445000000000001</v>
      </c>
      <c r="E12" s="190">
        <f t="shared" si="2"/>
        <v>0.59259259259259256</v>
      </c>
      <c r="F12" s="277">
        <f t="shared" si="0"/>
        <v>-1000000</v>
      </c>
      <c r="U12" s="273"/>
      <c r="V12" s="65"/>
      <c r="W12" s="190"/>
      <c r="X12" s="190"/>
      <c r="Y12" s="277"/>
    </row>
    <row r="13" spans="2:25" ht="15" customHeight="1" x14ac:dyDescent="0.25">
      <c r="C13" s="65">
        <f t="shared" si="3"/>
        <v>0.12000000000000001</v>
      </c>
      <c r="D13" s="190">
        <f t="shared" si="1"/>
        <v>0.55193600000000009</v>
      </c>
      <c r="E13" s="190">
        <f t="shared" si="2"/>
        <v>0.59259259259259256</v>
      </c>
      <c r="F13" s="277">
        <f t="shared" si="0"/>
        <v>-1000000</v>
      </c>
      <c r="U13" s="273"/>
      <c r="V13" s="65"/>
      <c r="W13" s="190"/>
      <c r="X13" s="190"/>
      <c r="Y13" s="277"/>
    </row>
    <row r="14" spans="2:25" ht="15" customHeight="1" x14ac:dyDescent="0.25">
      <c r="C14" s="65">
        <f t="shared" si="3"/>
        <v>0.14000000000000001</v>
      </c>
      <c r="D14" s="190">
        <f t="shared" si="1"/>
        <v>0.55882799999999999</v>
      </c>
      <c r="E14" s="190">
        <f t="shared" si="2"/>
        <v>0.59259259259259256</v>
      </c>
      <c r="F14" s="277">
        <f t="shared" si="0"/>
        <v>-1000000</v>
      </c>
      <c r="U14" s="273"/>
      <c r="V14" s="65"/>
      <c r="W14" s="190"/>
      <c r="X14" s="190"/>
      <c r="Y14" s="277"/>
    </row>
    <row r="15" spans="2:25" ht="15" customHeight="1" x14ac:dyDescent="0.25">
      <c r="C15" s="65">
        <f t="shared" si="3"/>
        <v>0.16</v>
      </c>
      <c r="D15" s="190">
        <f t="shared" si="1"/>
        <v>0.56515199999999988</v>
      </c>
      <c r="E15" s="190">
        <f t="shared" si="2"/>
        <v>0.59259259259259256</v>
      </c>
      <c r="F15" s="277">
        <f t="shared" si="0"/>
        <v>-1000000</v>
      </c>
      <c r="U15" s="273"/>
      <c r="V15" s="65"/>
      <c r="W15" s="190"/>
      <c r="X15" s="190"/>
      <c r="Y15" s="277"/>
    </row>
    <row r="16" spans="2:25" ht="15" customHeight="1" x14ac:dyDescent="0.25">
      <c r="C16" s="65">
        <f t="shared" si="3"/>
        <v>0.18</v>
      </c>
      <c r="D16" s="190">
        <f t="shared" si="1"/>
        <v>0.57088399999999995</v>
      </c>
      <c r="E16" s="190">
        <f t="shared" si="2"/>
        <v>0.59259259259259256</v>
      </c>
      <c r="F16" s="277">
        <f t="shared" si="0"/>
        <v>-1000000</v>
      </c>
      <c r="U16" s="273"/>
      <c r="V16" s="65"/>
      <c r="W16" s="190"/>
      <c r="X16" s="190"/>
      <c r="Y16" s="277"/>
    </row>
    <row r="17" spans="3:25" ht="15" customHeight="1" x14ac:dyDescent="0.25">
      <c r="C17" s="65">
        <f t="shared" si="3"/>
        <v>0.19999999999999998</v>
      </c>
      <c r="D17" s="190">
        <f t="shared" si="1"/>
        <v>0.57599999999999996</v>
      </c>
      <c r="E17" s="190">
        <f t="shared" si="2"/>
        <v>0.59259259259259256</v>
      </c>
      <c r="F17" s="277">
        <f t="shared" si="0"/>
        <v>-1000000</v>
      </c>
      <c r="U17" s="273"/>
      <c r="V17" s="65"/>
      <c r="W17" s="190"/>
      <c r="X17" s="190"/>
      <c r="Y17" s="277"/>
    </row>
    <row r="18" spans="3:25" ht="15" customHeight="1" x14ac:dyDescent="0.25">
      <c r="C18" s="65">
        <f t="shared" si="3"/>
        <v>0.21999999999999997</v>
      </c>
      <c r="D18" s="190">
        <f t="shared" si="1"/>
        <v>0.58047599999999999</v>
      </c>
      <c r="E18" s="190">
        <f t="shared" si="2"/>
        <v>0.59259259259259256</v>
      </c>
      <c r="F18" s="277">
        <f t="shared" si="0"/>
        <v>-1000000</v>
      </c>
      <c r="U18" s="273"/>
      <c r="V18" s="65"/>
      <c r="W18" s="190"/>
      <c r="X18" s="190"/>
      <c r="Y18" s="277"/>
    </row>
    <row r="19" spans="3:25" ht="15" customHeight="1" x14ac:dyDescent="0.25">
      <c r="C19" s="65">
        <f t="shared" si="3"/>
        <v>0.23999999999999996</v>
      </c>
      <c r="D19" s="190">
        <f t="shared" si="1"/>
        <v>0.58428799999999992</v>
      </c>
      <c r="E19" s="190">
        <f t="shared" si="2"/>
        <v>0.59259259259259256</v>
      </c>
      <c r="F19" s="277">
        <f t="shared" si="0"/>
        <v>-1000000</v>
      </c>
      <c r="U19" s="273"/>
      <c r="V19" s="65"/>
      <c r="W19" s="190"/>
      <c r="X19" s="190"/>
      <c r="Y19" s="277"/>
    </row>
    <row r="20" spans="3:25" ht="15" customHeight="1" x14ac:dyDescent="0.25">
      <c r="C20" s="65">
        <f t="shared" si="3"/>
        <v>0.25999999999999995</v>
      </c>
      <c r="D20" s="190">
        <f t="shared" si="1"/>
        <v>0.58741200000000005</v>
      </c>
      <c r="E20" s="190">
        <f t="shared" si="2"/>
        <v>0.59259259259259256</v>
      </c>
      <c r="F20" s="277">
        <f t="shared" si="0"/>
        <v>-1000000</v>
      </c>
      <c r="U20" s="273"/>
      <c r="V20" s="65"/>
      <c r="W20" s="190"/>
      <c r="X20" s="190"/>
      <c r="Y20" s="277"/>
    </row>
    <row r="21" spans="3:25" ht="15" customHeight="1" x14ac:dyDescent="0.25">
      <c r="C21" s="65">
        <f t="shared" si="3"/>
        <v>0.27999999999999997</v>
      </c>
      <c r="D21" s="190">
        <f t="shared" si="1"/>
        <v>0.58982400000000001</v>
      </c>
      <c r="E21" s="190">
        <f t="shared" si="2"/>
        <v>0.59259259259259256</v>
      </c>
      <c r="F21" s="277">
        <f t="shared" si="0"/>
        <v>-1000000</v>
      </c>
      <c r="U21" s="273"/>
      <c r="V21" s="65"/>
      <c r="W21" s="190"/>
      <c r="X21" s="190"/>
      <c r="Y21" s="277"/>
    </row>
    <row r="22" spans="3:25" ht="15" customHeight="1" x14ac:dyDescent="0.25">
      <c r="C22" s="65">
        <f t="shared" si="3"/>
        <v>0.3</v>
      </c>
      <c r="D22" s="190">
        <f t="shared" si="1"/>
        <v>0.59150000000000003</v>
      </c>
      <c r="E22" s="190">
        <f t="shared" si="2"/>
        <v>0.59259259259259256</v>
      </c>
      <c r="F22" s="277">
        <f t="shared" si="0"/>
        <v>-1000000</v>
      </c>
      <c r="U22" s="273"/>
      <c r="V22" s="65"/>
      <c r="W22" s="190"/>
      <c r="X22" s="190"/>
      <c r="Y22" s="277"/>
    </row>
    <row r="23" spans="3:25" ht="15" customHeight="1" x14ac:dyDescent="0.25">
      <c r="C23" s="65">
        <f t="shared" si="3"/>
        <v>0.32</v>
      </c>
      <c r="D23" s="190">
        <f t="shared" si="1"/>
        <v>0.59241600000000005</v>
      </c>
      <c r="E23" s="190">
        <f t="shared" si="2"/>
        <v>0.59259259259259256</v>
      </c>
      <c r="F23" s="277">
        <f t="shared" si="0"/>
        <v>-1000000</v>
      </c>
      <c r="U23" s="273"/>
      <c r="V23" s="65"/>
      <c r="W23" s="190"/>
      <c r="X23" s="190"/>
      <c r="Y23" s="277"/>
    </row>
    <row r="24" spans="3:25" s="269" customFormat="1" ht="15" customHeight="1" x14ac:dyDescent="0.25">
      <c r="C24" s="65">
        <f>1/3</f>
        <v>0.33333333333333331</v>
      </c>
      <c r="D24" s="190">
        <f t="shared" si="1"/>
        <v>0.59259259259259256</v>
      </c>
      <c r="E24" s="190">
        <f t="shared" si="2"/>
        <v>0.59259259259259256</v>
      </c>
      <c r="F24" s="277">
        <f t="shared" si="0"/>
        <v>0.59259259259259256</v>
      </c>
      <c r="U24" s="273"/>
      <c r="V24" s="65"/>
      <c r="W24" s="190"/>
      <c r="X24" s="190"/>
      <c r="Y24" s="277"/>
    </row>
    <row r="25" spans="3:25" ht="15" customHeight="1" x14ac:dyDescent="0.25">
      <c r="C25" s="65">
        <f>C23+$C$5</f>
        <v>0.34</v>
      </c>
      <c r="D25" s="190">
        <f t="shared" si="1"/>
        <v>0.59254800000000007</v>
      </c>
      <c r="E25" s="190">
        <f t="shared" si="2"/>
        <v>0.59259259259259256</v>
      </c>
      <c r="F25" s="277">
        <f t="shared" si="0"/>
        <v>1000000</v>
      </c>
      <c r="U25" s="273"/>
      <c r="V25" s="65"/>
      <c r="W25" s="190"/>
      <c r="X25" s="190"/>
      <c r="Y25" s="277"/>
    </row>
    <row r="26" spans="3:25" ht="15" customHeight="1" x14ac:dyDescent="0.25">
      <c r="C26" s="65">
        <f t="shared" si="3"/>
        <v>0.36000000000000004</v>
      </c>
      <c r="D26" s="190">
        <f t="shared" si="1"/>
        <v>0.59187200000000006</v>
      </c>
      <c r="E26" s="190">
        <f t="shared" si="2"/>
        <v>0.59259259259259256</v>
      </c>
      <c r="F26" s="277">
        <f t="shared" si="0"/>
        <v>1000000</v>
      </c>
      <c r="U26" s="273"/>
      <c r="V26" s="65"/>
      <c r="W26" s="190"/>
      <c r="X26" s="190"/>
      <c r="Y26" s="277"/>
    </row>
    <row r="27" spans="3:25" ht="15" customHeight="1" x14ac:dyDescent="0.25">
      <c r="C27" s="65">
        <f t="shared" si="3"/>
        <v>0.38000000000000006</v>
      </c>
      <c r="D27" s="190">
        <f t="shared" si="1"/>
        <v>0.590364</v>
      </c>
      <c r="E27" s="190">
        <f t="shared" si="2"/>
        <v>0.59259259259259256</v>
      </c>
      <c r="F27" s="277">
        <f t="shared" si="0"/>
        <v>1000000</v>
      </c>
      <c r="U27" s="273"/>
      <c r="V27" s="65"/>
      <c r="W27" s="190"/>
      <c r="X27" s="190"/>
      <c r="Y27" s="277"/>
    </row>
    <row r="28" spans="3:25" ht="15" customHeight="1" x14ac:dyDescent="0.25">
      <c r="C28" s="65">
        <f t="shared" si="3"/>
        <v>0.40000000000000008</v>
      </c>
      <c r="D28" s="190">
        <f t="shared" si="1"/>
        <v>0.58799999999999997</v>
      </c>
      <c r="E28" s="190">
        <f t="shared" si="2"/>
        <v>0.59259259259259256</v>
      </c>
      <c r="F28" s="277">
        <f t="shared" si="0"/>
        <v>1000000</v>
      </c>
      <c r="U28" s="273"/>
      <c r="V28" s="65"/>
      <c r="W28" s="190"/>
      <c r="X28" s="190"/>
      <c r="Y28" s="277"/>
    </row>
    <row r="29" spans="3:25" ht="15" customHeight="1" x14ac:dyDescent="0.25">
      <c r="C29" s="65">
        <f t="shared" si="3"/>
        <v>0.4200000000000001</v>
      </c>
      <c r="D29" s="190">
        <f t="shared" si="1"/>
        <v>0.58475599999999994</v>
      </c>
      <c r="E29" s="190">
        <f t="shared" si="2"/>
        <v>0.59259259259259256</v>
      </c>
      <c r="F29" s="277">
        <f t="shared" si="0"/>
        <v>1000000</v>
      </c>
      <c r="U29" s="273"/>
      <c r="V29" s="65"/>
      <c r="W29" s="190"/>
      <c r="X29" s="190"/>
      <c r="Y29" s="277"/>
    </row>
    <row r="30" spans="3:25" ht="15" customHeight="1" x14ac:dyDescent="0.25">
      <c r="C30" s="65">
        <f t="shared" si="3"/>
        <v>0.44000000000000011</v>
      </c>
      <c r="D30" s="190">
        <f t="shared" si="1"/>
        <v>0.5806079999999999</v>
      </c>
      <c r="E30" s="190">
        <f t="shared" si="2"/>
        <v>0.59259259259259256</v>
      </c>
      <c r="F30" s="277">
        <f t="shared" si="0"/>
        <v>1000000</v>
      </c>
      <c r="U30" s="273"/>
      <c r="V30" s="65"/>
      <c r="W30" s="190"/>
      <c r="X30" s="190"/>
      <c r="Y30" s="277"/>
    </row>
    <row r="31" spans="3:25" ht="15" customHeight="1" x14ac:dyDescent="0.25">
      <c r="C31" s="65">
        <f t="shared" si="3"/>
        <v>0.46000000000000013</v>
      </c>
      <c r="D31" s="190">
        <f t="shared" si="1"/>
        <v>0.57553200000000004</v>
      </c>
      <c r="E31" s="190">
        <f t="shared" si="2"/>
        <v>0.59259259259259256</v>
      </c>
      <c r="F31" s="277">
        <f t="shared" si="0"/>
        <v>1000000</v>
      </c>
      <c r="U31" s="273"/>
      <c r="V31" s="65"/>
      <c r="W31" s="190"/>
      <c r="X31" s="190"/>
      <c r="Y31" s="277"/>
    </row>
    <row r="32" spans="3:25" ht="15" customHeight="1" x14ac:dyDescent="0.25">
      <c r="C32" s="65">
        <f t="shared" si="3"/>
        <v>0.48000000000000015</v>
      </c>
      <c r="D32" s="190">
        <f t="shared" si="1"/>
        <v>0.56950400000000001</v>
      </c>
      <c r="E32" s="190">
        <f t="shared" si="2"/>
        <v>0.59259259259259256</v>
      </c>
      <c r="F32" s="277">
        <f t="shared" si="0"/>
        <v>1000000</v>
      </c>
      <c r="U32" s="273"/>
      <c r="V32" s="65"/>
      <c r="W32" s="190"/>
      <c r="X32" s="190"/>
      <c r="Y32" s="277"/>
    </row>
    <row r="33" spans="3:25" ht="15" customHeight="1" x14ac:dyDescent="0.25">
      <c r="C33" s="65">
        <f t="shared" si="3"/>
        <v>0.50000000000000011</v>
      </c>
      <c r="D33" s="190">
        <f t="shared" si="1"/>
        <v>0.5625</v>
      </c>
      <c r="E33" s="190">
        <f t="shared" si="2"/>
        <v>0.59259259259259256</v>
      </c>
      <c r="F33" s="277">
        <f t="shared" si="0"/>
        <v>1000000</v>
      </c>
      <c r="U33" s="273"/>
      <c r="V33" s="65"/>
      <c r="W33" s="190"/>
      <c r="X33" s="190"/>
      <c r="Y33" s="277"/>
    </row>
    <row r="34" spans="3:25" ht="15" customHeight="1" x14ac:dyDescent="0.25">
      <c r="C34" s="65">
        <f t="shared" si="3"/>
        <v>0.52000000000000013</v>
      </c>
      <c r="D34" s="190">
        <f t="shared" si="1"/>
        <v>0.55449599999999988</v>
      </c>
      <c r="E34" s="190">
        <f t="shared" si="2"/>
        <v>0.59259259259259256</v>
      </c>
      <c r="F34" s="277">
        <f t="shared" si="0"/>
        <v>1000000</v>
      </c>
      <c r="U34" s="273"/>
      <c r="V34" s="65"/>
      <c r="W34" s="190"/>
      <c r="X34" s="190"/>
      <c r="Y34" s="277"/>
    </row>
    <row r="35" spans="3:25" ht="15" customHeight="1" x14ac:dyDescent="0.25">
      <c r="C35" s="65">
        <f t="shared" si="3"/>
        <v>0.54000000000000015</v>
      </c>
      <c r="D35" s="190">
        <f t="shared" si="1"/>
        <v>0.54546799999999995</v>
      </c>
      <c r="E35" s="190">
        <f t="shared" si="2"/>
        <v>0.59259259259259256</v>
      </c>
      <c r="F35" s="277">
        <f t="shared" si="0"/>
        <v>1000000</v>
      </c>
      <c r="U35" s="273"/>
      <c r="V35" s="65"/>
      <c r="W35" s="190"/>
      <c r="X35" s="190"/>
      <c r="Y35" s="277"/>
    </row>
    <row r="36" spans="3:25" ht="15" customHeight="1" x14ac:dyDescent="0.25">
      <c r="C36" s="65">
        <f t="shared" si="3"/>
        <v>0.56000000000000016</v>
      </c>
      <c r="D36" s="190">
        <f t="shared" si="1"/>
        <v>0.53539199999999987</v>
      </c>
      <c r="E36" s="190">
        <f t="shared" si="2"/>
        <v>0.59259259259259256</v>
      </c>
      <c r="F36" s="277">
        <f t="shared" si="0"/>
        <v>1000000</v>
      </c>
      <c r="U36" s="273"/>
      <c r="V36" s="65"/>
      <c r="W36" s="190"/>
      <c r="X36" s="190"/>
      <c r="Y36" s="277"/>
    </row>
    <row r="37" spans="3:25" ht="15" customHeight="1" x14ac:dyDescent="0.25">
      <c r="C37" s="65">
        <f t="shared" si="3"/>
        <v>0.58000000000000018</v>
      </c>
      <c r="D37" s="190">
        <f t="shared" si="1"/>
        <v>0.52424399999999982</v>
      </c>
      <c r="E37" s="190">
        <f t="shared" si="2"/>
        <v>0.59259259259259256</v>
      </c>
      <c r="F37" s="277">
        <f t="shared" si="0"/>
        <v>1000000</v>
      </c>
      <c r="U37" s="273"/>
      <c r="V37" s="65"/>
      <c r="W37" s="190"/>
      <c r="X37" s="190"/>
      <c r="Y37" s="277"/>
    </row>
    <row r="38" spans="3:25" ht="15" customHeight="1" x14ac:dyDescent="0.25">
      <c r="C38" s="65">
        <f>C37+$C$5</f>
        <v>0.6000000000000002</v>
      </c>
      <c r="D38" s="190">
        <f t="shared" si="1"/>
        <v>0.51199999999999979</v>
      </c>
      <c r="E38" s="190">
        <f t="shared" si="2"/>
        <v>0.59259259259259256</v>
      </c>
      <c r="F38" s="277">
        <f t="shared" si="0"/>
        <v>1000000</v>
      </c>
      <c r="U38" s="273"/>
      <c r="V38" s="65"/>
      <c r="W38" s="190"/>
      <c r="X38" s="190"/>
      <c r="Y38" s="277"/>
    </row>
    <row r="39" spans="3:25" ht="15" customHeight="1" x14ac:dyDescent="0.25">
      <c r="C39" s="65">
        <f t="shared" si="3"/>
        <v>0.62000000000000022</v>
      </c>
      <c r="D39" s="190">
        <f t="shared" si="1"/>
        <v>0.49863599999999975</v>
      </c>
      <c r="E39" s="190">
        <f t="shared" si="2"/>
        <v>0.59259259259259256</v>
      </c>
      <c r="F39" s="277">
        <f t="shared" ref="F39:F58" si="4">IF(C39&lt;$C$4,-1000000,IF(C39=$C$4,$E$4,1000000))</f>
        <v>1000000</v>
      </c>
      <c r="U39" s="273"/>
      <c r="V39" s="65"/>
      <c r="W39" s="190"/>
      <c r="X39" s="190"/>
      <c r="Y39" s="277"/>
    </row>
    <row r="40" spans="3:25" ht="15" customHeight="1" x14ac:dyDescent="0.25">
      <c r="C40" s="65">
        <f t="shared" si="3"/>
        <v>0.64000000000000024</v>
      </c>
      <c r="D40" s="190">
        <f t="shared" si="1"/>
        <v>0.48412799999999984</v>
      </c>
      <c r="E40" s="190">
        <f t="shared" si="2"/>
        <v>0.59259259259259256</v>
      </c>
      <c r="F40" s="277">
        <f t="shared" si="4"/>
        <v>1000000</v>
      </c>
      <c r="U40" s="273"/>
      <c r="V40" s="65"/>
      <c r="W40" s="190"/>
      <c r="X40" s="190"/>
      <c r="Y40" s="277"/>
    </row>
    <row r="41" spans="3:25" ht="15" customHeight="1" x14ac:dyDescent="0.25">
      <c r="C41" s="65">
        <f t="shared" si="3"/>
        <v>0.66000000000000025</v>
      </c>
      <c r="D41" s="190">
        <f t="shared" si="1"/>
        <v>0.4684519999999997</v>
      </c>
      <c r="E41" s="190">
        <f t="shared" si="2"/>
        <v>0.59259259259259256</v>
      </c>
      <c r="F41" s="277">
        <f t="shared" si="4"/>
        <v>1000000</v>
      </c>
      <c r="U41" s="273"/>
      <c r="V41" s="65"/>
      <c r="W41" s="190"/>
      <c r="X41" s="190"/>
      <c r="Y41" s="277"/>
    </row>
    <row r="42" spans="3:25" ht="15" customHeight="1" x14ac:dyDescent="0.25">
      <c r="C42" s="65">
        <f t="shared" si="3"/>
        <v>0.68000000000000027</v>
      </c>
      <c r="D42" s="190">
        <f t="shared" si="1"/>
        <v>0.45158399999999971</v>
      </c>
      <c r="E42" s="190">
        <f t="shared" si="2"/>
        <v>0.59259259259259256</v>
      </c>
      <c r="F42" s="277">
        <f t="shared" si="4"/>
        <v>1000000</v>
      </c>
      <c r="U42" s="273"/>
      <c r="V42" s="65"/>
      <c r="W42" s="190"/>
      <c r="X42" s="190"/>
      <c r="Y42" s="277"/>
    </row>
    <row r="43" spans="3:25" ht="15" customHeight="1" x14ac:dyDescent="0.25">
      <c r="C43" s="65">
        <f t="shared" si="3"/>
        <v>0.70000000000000029</v>
      </c>
      <c r="D43" s="190">
        <f t="shared" si="1"/>
        <v>0.43349999999999966</v>
      </c>
      <c r="E43" s="190">
        <f t="shared" si="2"/>
        <v>0.59259259259259256</v>
      </c>
      <c r="F43" s="277">
        <f t="shared" si="4"/>
        <v>1000000</v>
      </c>
      <c r="U43" s="273"/>
      <c r="V43" s="65"/>
      <c r="W43" s="190"/>
      <c r="X43" s="190"/>
      <c r="Y43" s="277"/>
    </row>
    <row r="44" spans="3:25" ht="15" customHeight="1" x14ac:dyDescent="0.25">
      <c r="C44" s="65">
        <f t="shared" si="3"/>
        <v>0.72000000000000031</v>
      </c>
      <c r="D44" s="190">
        <f t="shared" si="1"/>
        <v>0.41417599999999966</v>
      </c>
      <c r="E44" s="190">
        <f t="shared" si="2"/>
        <v>0.59259259259259256</v>
      </c>
      <c r="F44" s="277">
        <f t="shared" si="4"/>
        <v>1000000</v>
      </c>
      <c r="U44" s="273"/>
      <c r="V44" s="65"/>
      <c r="W44" s="190"/>
      <c r="X44" s="190"/>
      <c r="Y44" s="277"/>
    </row>
    <row r="45" spans="3:25" ht="15" customHeight="1" x14ac:dyDescent="0.25">
      <c r="C45" s="65">
        <f t="shared" si="3"/>
        <v>0.74000000000000032</v>
      </c>
      <c r="D45" s="190">
        <f t="shared" si="1"/>
        <v>0.39358799999999955</v>
      </c>
      <c r="E45" s="190">
        <f t="shared" si="2"/>
        <v>0.59259259259259256</v>
      </c>
      <c r="F45" s="277">
        <f t="shared" si="4"/>
        <v>1000000</v>
      </c>
      <c r="U45" s="273"/>
      <c r="V45" s="65"/>
      <c r="W45" s="190"/>
      <c r="X45" s="190"/>
      <c r="Y45" s="277"/>
    </row>
    <row r="46" spans="3:25" ht="15" customHeight="1" x14ac:dyDescent="0.25">
      <c r="C46" s="65">
        <f t="shared" si="3"/>
        <v>0.76000000000000034</v>
      </c>
      <c r="D46" s="190">
        <f t="shared" si="1"/>
        <v>0.37171199999999949</v>
      </c>
      <c r="E46" s="190">
        <f t="shared" si="2"/>
        <v>0.59259259259259256</v>
      </c>
      <c r="F46" s="277">
        <f t="shared" si="4"/>
        <v>1000000</v>
      </c>
      <c r="U46" s="273"/>
      <c r="V46" s="65"/>
      <c r="W46" s="190"/>
      <c r="X46" s="190"/>
      <c r="Y46" s="277"/>
    </row>
    <row r="47" spans="3:25" ht="15" customHeight="1" x14ac:dyDescent="0.25">
      <c r="C47" s="65">
        <f t="shared" si="3"/>
        <v>0.78000000000000036</v>
      </c>
      <c r="D47" s="190">
        <f t="shared" si="1"/>
        <v>0.3485239999999995</v>
      </c>
      <c r="E47" s="190">
        <f t="shared" si="2"/>
        <v>0.59259259259259256</v>
      </c>
      <c r="F47" s="277">
        <f t="shared" si="4"/>
        <v>1000000</v>
      </c>
      <c r="U47" s="273"/>
      <c r="V47" s="65"/>
      <c r="W47" s="190"/>
      <c r="X47" s="190"/>
      <c r="Y47" s="277"/>
    </row>
    <row r="48" spans="3:25" ht="15" customHeight="1" x14ac:dyDescent="0.25">
      <c r="C48" s="65">
        <f t="shared" si="3"/>
        <v>0.80000000000000038</v>
      </c>
      <c r="D48" s="190">
        <f t="shared" si="1"/>
        <v>0.32399999999999951</v>
      </c>
      <c r="E48" s="190">
        <f t="shared" si="2"/>
        <v>0.59259259259259256</v>
      </c>
      <c r="F48" s="277">
        <f t="shared" si="4"/>
        <v>1000000</v>
      </c>
      <c r="U48" s="273"/>
      <c r="V48" s="65"/>
      <c r="W48" s="190"/>
      <c r="X48" s="190"/>
      <c r="Y48" s="277"/>
    </row>
    <row r="49" spans="3:25" ht="15" customHeight="1" x14ac:dyDescent="0.25">
      <c r="C49" s="65">
        <f t="shared" si="3"/>
        <v>0.8200000000000004</v>
      </c>
      <c r="D49" s="190">
        <f t="shared" si="1"/>
        <v>0.29811599999999944</v>
      </c>
      <c r="E49" s="190">
        <f t="shared" si="2"/>
        <v>0.59259259259259256</v>
      </c>
      <c r="F49" s="277">
        <f t="shared" si="4"/>
        <v>1000000</v>
      </c>
      <c r="U49" s="273"/>
      <c r="V49" s="65"/>
      <c r="W49" s="190"/>
      <c r="X49" s="190"/>
      <c r="Y49" s="277"/>
    </row>
    <row r="50" spans="3:25" ht="15" customHeight="1" x14ac:dyDescent="0.25">
      <c r="C50" s="65">
        <f t="shared" si="3"/>
        <v>0.84000000000000041</v>
      </c>
      <c r="D50" s="190">
        <f t="shared" si="1"/>
        <v>0.27084799999999937</v>
      </c>
      <c r="E50" s="190">
        <f t="shared" si="2"/>
        <v>0.59259259259259256</v>
      </c>
      <c r="F50" s="277">
        <f t="shared" si="4"/>
        <v>1000000</v>
      </c>
      <c r="U50" s="273"/>
      <c r="V50" s="65"/>
      <c r="W50" s="190"/>
      <c r="X50" s="190"/>
      <c r="Y50" s="277"/>
    </row>
    <row r="51" spans="3:25" ht="15" customHeight="1" x14ac:dyDescent="0.25">
      <c r="C51" s="65">
        <f t="shared" si="3"/>
        <v>0.86000000000000043</v>
      </c>
      <c r="D51" s="190">
        <f t="shared" si="1"/>
        <v>0.24217199999999933</v>
      </c>
      <c r="E51" s="190">
        <f t="shared" si="2"/>
        <v>0.59259259259259256</v>
      </c>
      <c r="F51" s="277">
        <f t="shared" si="4"/>
        <v>1000000</v>
      </c>
      <c r="U51" s="273"/>
      <c r="V51" s="65"/>
      <c r="W51" s="190"/>
      <c r="X51" s="190"/>
      <c r="Y51" s="277"/>
    </row>
    <row r="52" spans="3:25" ht="15" customHeight="1" x14ac:dyDescent="0.25">
      <c r="C52" s="65">
        <f t="shared" si="3"/>
        <v>0.88000000000000045</v>
      </c>
      <c r="D52" s="190">
        <f t="shared" si="1"/>
        <v>0.21206399999999925</v>
      </c>
      <c r="E52" s="190">
        <f t="shared" si="2"/>
        <v>0.59259259259259256</v>
      </c>
      <c r="F52" s="277">
        <f t="shared" si="4"/>
        <v>1000000</v>
      </c>
      <c r="U52" s="273"/>
      <c r="V52" s="65"/>
      <c r="W52" s="190"/>
      <c r="X52" s="190"/>
      <c r="Y52" s="277"/>
    </row>
    <row r="53" spans="3:25" ht="15" customHeight="1" x14ac:dyDescent="0.25">
      <c r="C53" s="65">
        <f t="shared" si="3"/>
        <v>0.90000000000000047</v>
      </c>
      <c r="D53" s="190">
        <f t="shared" si="1"/>
        <v>0.18049999999999916</v>
      </c>
      <c r="E53" s="190">
        <f t="shared" si="2"/>
        <v>0.59259259259259256</v>
      </c>
      <c r="F53" s="277">
        <f t="shared" si="4"/>
        <v>1000000</v>
      </c>
      <c r="U53" s="273"/>
      <c r="V53" s="65"/>
      <c r="W53" s="190"/>
      <c r="X53" s="190"/>
      <c r="Y53" s="277"/>
    </row>
    <row r="54" spans="3:25" ht="15" customHeight="1" x14ac:dyDescent="0.25">
      <c r="C54" s="65">
        <f t="shared" si="3"/>
        <v>0.92000000000000048</v>
      </c>
      <c r="D54" s="190">
        <f t="shared" si="1"/>
        <v>0.14745599999999909</v>
      </c>
      <c r="E54" s="190">
        <f t="shared" si="2"/>
        <v>0.59259259259259256</v>
      </c>
      <c r="F54" s="277">
        <f t="shared" si="4"/>
        <v>1000000</v>
      </c>
      <c r="U54" s="273"/>
      <c r="V54" s="65"/>
      <c r="W54" s="190"/>
      <c r="X54" s="190"/>
      <c r="Y54" s="277"/>
    </row>
    <row r="55" spans="3:25" ht="15" customHeight="1" x14ac:dyDescent="0.25">
      <c r="C55" s="65">
        <f t="shared" si="3"/>
        <v>0.9400000000000005</v>
      </c>
      <c r="D55" s="190">
        <f t="shared" si="1"/>
        <v>0.11290799999999912</v>
      </c>
      <c r="E55" s="190">
        <f t="shared" si="2"/>
        <v>0.59259259259259256</v>
      </c>
      <c r="F55" s="277">
        <f t="shared" si="4"/>
        <v>1000000</v>
      </c>
      <c r="U55" s="273"/>
      <c r="V55" s="65"/>
      <c r="W55" s="190"/>
      <c r="X55" s="190"/>
      <c r="Y55" s="277"/>
    </row>
    <row r="56" spans="3:25" ht="15" customHeight="1" x14ac:dyDescent="0.25">
      <c r="C56" s="65">
        <f t="shared" si="3"/>
        <v>0.96000000000000052</v>
      </c>
      <c r="D56" s="190">
        <f t="shared" si="1"/>
        <v>7.6831999999998957E-2</v>
      </c>
      <c r="E56" s="190">
        <f t="shared" si="2"/>
        <v>0.59259259259259256</v>
      </c>
      <c r="F56" s="277">
        <f t="shared" si="4"/>
        <v>1000000</v>
      </c>
      <c r="U56" s="273"/>
      <c r="V56" s="65"/>
      <c r="W56" s="190"/>
      <c r="X56" s="190"/>
      <c r="Y56" s="277"/>
    </row>
    <row r="57" spans="3:25" ht="15" customHeight="1" x14ac:dyDescent="0.25">
      <c r="C57" s="65">
        <f t="shared" si="3"/>
        <v>0.98000000000000054</v>
      </c>
      <c r="D57" s="190">
        <f t="shared" si="1"/>
        <v>3.9203999999998962E-2</v>
      </c>
      <c r="E57" s="190">
        <f t="shared" si="2"/>
        <v>0.59259259259259256</v>
      </c>
      <c r="F57" s="277">
        <f t="shared" si="4"/>
        <v>1000000</v>
      </c>
      <c r="V57" s="65"/>
      <c r="W57" s="190"/>
      <c r="X57" s="190"/>
      <c r="Y57" s="277"/>
    </row>
    <row r="58" spans="3:25" ht="15" customHeight="1" x14ac:dyDescent="0.25">
      <c r="C58" s="65">
        <f t="shared" si="3"/>
        <v>1.0000000000000004</v>
      </c>
      <c r="D58" s="190">
        <f t="shared" si="1"/>
        <v>-8.8817841970012523E-16</v>
      </c>
      <c r="E58" s="190">
        <f t="shared" si="2"/>
        <v>0.59259259259259256</v>
      </c>
      <c r="F58" s="277">
        <f t="shared" si="4"/>
        <v>1000000</v>
      </c>
      <c r="V58" s="65"/>
      <c r="W58" s="190"/>
      <c r="X58" s="190"/>
      <c r="Y58" s="277"/>
    </row>
    <row r="59" spans="3:25" ht="15" customHeight="1" x14ac:dyDescent="0.25">
      <c r="C59" s="65"/>
      <c r="D59" s="190"/>
      <c r="E59" s="190"/>
      <c r="V59" s="65"/>
      <c r="W59" s="190"/>
      <c r="X59" s="190"/>
      <c r="Y59" s="277"/>
    </row>
    <row r="60" spans="3:25" ht="15" customHeight="1" x14ac:dyDescent="0.25">
      <c r="V60" s="65"/>
      <c r="W60" s="190"/>
      <c r="X60" s="190"/>
      <c r="Y60" s="277"/>
    </row>
    <row r="61" spans="3:25" ht="15" customHeight="1" x14ac:dyDescent="0.25">
      <c r="V61" s="65"/>
      <c r="W61" s="190"/>
      <c r="X61" s="190"/>
      <c r="Y61" s="277"/>
    </row>
    <row r="62" spans="3:25" ht="15" customHeight="1" x14ac:dyDescent="0.25">
      <c r="V62" s="65"/>
      <c r="W62" s="190"/>
      <c r="X62" s="190"/>
      <c r="Y62" s="277"/>
    </row>
    <row r="63" spans="3:25" ht="15" customHeight="1" x14ac:dyDescent="0.25">
      <c r="V63" s="65"/>
      <c r="W63" s="190"/>
      <c r="X63" s="190"/>
      <c r="Y63" s="277"/>
    </row>
    <row r="64" spans="3:25" ht="15" customHeight="1" x14ac:dyDescent="0.25">
      <c r="V64" s="65"/>
      <c r="W64" s="190"/>
      <c r="X64" s="190"/>
      <c r="Y64" s="277"/>
    </row>
    <row r="65" spans="22:25" ht="15" customHeight="1" x14ac:dyDescent="0.25">
      <c r="V65" s="65"/>
      <c r="W65" s="190"/>
      <c r="X65" s="190"/>
      <c r="Y65" s="277"/>
    </row>
    <row r="66" spans="22:25" ht="15" customHeight="1" x14ac:dyDescent="0.25">
      <c r="V66" s="65"/>
      <c r="W66" s="190"/>
      <c r="X66" s="190"/>
      <c r="Y66" s="277"/>
    </row>
    <row r="67" spans="22:25" ht="15" customHeight="1" x14ac:dyDescent="0.25">
      <c r="V67" s="65"/>
      <c r="W67" s="190"/>
      <c r="X67" s="190"/>
      <c r="Y67" s="277"/>
    </row>
    <row r="68" spans="22:25" ht="15" customHeight="1" x14ac:dyDescent="0.25">
      <c r="V68" s="65"/>
      <c r="W68" s="190"/>
      <c r="X68" s="190"/>
      <c r="Y68" s="277"/>
    </row>
    <row r="69" spans="22:25" ht="15" customHeight="1" x14ac:dyDescent="0.25">
      <c r="V69" s="65"/>
      <c r="W69" s="190"/>
      <c r="X69" s="190"/>
      <c r="Y69" s="277"/>
    </row>
    <row r="70" spans="22:25" ht="15" customHeight="1" x14ac:dyDescent="0.25">
      <c r="V70" s="65"/>
      <c r="W70" s="190"/>
      <c r="X70" s="190"/>
      <c r="Y70" s="277"/>
    </row>
    <row r="71" spans="22:25" ht="15" customHeight="1" x14ac:dyDescent="0.25">
      <c r="V71" s="65"/>
      <c r="W71" s="190"/>
      <c r="X71" s="190"/>
      <c r="Y71" s="277"/>
    </row>
    <row r="72" spans="22:25" ht="15" customHeight="1" x14ac:dyDescent="0.25">
      <c r="V72" s="65"/>
      <c r="W72" s="190"/>
      <c r="X72" s="190"/>
      <c r="Y72" s="277"/>
    </row>
    <row r="73" spans="22:25" ht="15" customHeight="1" x14ac:dyDescent="0.25">
      <c r="V73" s="65"/>
      <c r="W73" s="190"/>
      <c r="X73" s="190"/>
      <c r="Y73" s="277"/>
    </row>
    <row r="74" spans="22:25" ht="15" customHeight="1" x14ac:dyDescent="0.25">
      <c r="V74" s="65"/>
      <c r="W74" s="190"/>
      <c r="X74" s="190"/>
      <c r="Y74" s="277"/>
    </row>
    <row r="75" spans="22:25" ht="15" customHeight="1" x14ac:dyDescent="0.25">
      <c r="V75" s="65"/>
      <c r="W75" s="190"/>
      <c r="X75" s="190"/>
      <c r="Y75" s="277"/>
    </row>
    <row r="76" spans="22:25" ht="15" customHeight="1" x14ac:dyDescent="0.25">
      <c r="V76" s="65"/>
      <c r="W76" s="190"/>
      <c r="X76" s="190"/>
      <c r="Y76" s="277"/>
    </row>
    <row r="77" spans="22:25" ht="15" customHeight="1" x14ac:dyDescent="0.25">
      <c r="V77" s="65"/>
      <c r="W77" s="190"/>
      <c r="X77" s="190"/>
      <c r="Y77" s="277"/>
    </row>
    <row r="78" spans="22:25" ht="15" customHeight="1" x14ac:dyDescent="0.25">
      <c r="V78" s="65"/>
      <c r="W78" s="190"/>
      <c r="X78" s="190"/>
      <c r="Y78" s="277"/>
    </row>
    <row r="79" spans="22:25" ht="15" customHeight="1" x14ac:dyDescent="0.25">
      <c r="V79" s="65"/>
      <c r="W79" s="190"/>
      <c r="X79" s="190"/>
      <c r="Y79" s="277"/>
    </row>
    <row r="80" spans="22:25" ht="15" customHeight="1" x14ac:dyDescent="0.25">
      <c r="V80" s="65"/>
      <c r="W80" s="190"/>
      <c r="X80" s="190"/>
      <c r="Y80" s="277"/>
    </row>
    <row r="81" spans="22:25" ht="15" customHeight="1" x14ac:dyDescent="0.25">
      <c r="V81" s="65"/>
      <c r="W81" s="190"/>
      <c r="X81" s="190"/>
      <c r="Y81" s="277"/>
    </row>
    <row r="82" spans="22:25" ht="15" customHeight="1" x14ac:dyDescent="0.25">
      <c r="V82" s="65"/>
      <c r="W82" s="190"/>
      <c r="X82" s="190"/>
      <c r="Y82" s="277"/>
    </row>
    <row r="83" spans="22:25" ht="15" customHeight="1" x14ac:dyDescent="0.25">
      <c r="V83" s="65"/>
      <c r="W83" s="190"/>
      <c r="X83" s="190"/>
      <c r="Y83" s="277"/>
    </row>
    <row r="84" spans="22:25" ht="15" customHeight="1" x14ac:dyDescent="0.25">
      <c r="V84" s="65"/>
      <c r="W84" s="190"/>
      <c r="X84" s="190"/>
      <c r="Y84" s="277"/>
    </row>
    <row r="85" spans="22:25" ht="15" customHeight="1" x14ac:dyDescent="0.25">
      <c r="V85" s="65"/>
      <c r="W85" s="190"/>
      <c r="X85" s="190"/>
      <c r="Y85" s="277"/>
    </row>
    <row r="86" spans="22:25" ht="15" customHeight="1" x14ac:dyDescent="0.25">
      <c r="V86" s="65"/>
      <c r="W86" s="190"/>
      <c r="X86" s="190"/>
      <c r="Y86" s="277"/>
    </row>
    <row r="87" spans="22:25" ht="15" customHeight="1" x14ac:dyDescent="0.25">
      <c r="V87" s="65"/>
      <c r="W87" s="190"/>
      <c r="X87" s="190"/>
      <c r="Y87" s="277"/>
    </row>
    <row r="88" spans="22:25" ht="15" customHeight="1" x14ac:dyDescent="0.25">
      <c r="V88" s="65"/>
      <c r="W88" s="190"/>
      <c r="X88" s="190"/>
      <c r="Y88" s="277"/>
    </row>
    <row r="89" spans="22:25" ht="15" customHeight="1" x14ac:dyDescent="0.25">
      <c r="V89" s="65"/>
      <c r="W89" s="190"/>
      <c r="X89" s="190"/>
      <c r="Y89" s="277"/>
    </row>
    <row r="90" spans="22:25" ht="15" customHeight="1" x14ac:dyDescent="0.25">
      <c r="V90" s="65"/>
      <c r="W90" s="190"/>
      <c r="X90" s="190"/>
      <c r="Y90" s="277"/>
    </row>
    <row r="91" spans="22:25" ht="15" customHeight="1" x14ac:dyDescent="0.25">
      <c r="V91" s="65"/>
      <c r="W91" s="190"/>
      <c r="X91" s="190"/>
      <c r="Y91" s="277"/>
    </row>
    <row r="92" spans="22:25" ht="15" customHeight="1" x14ac:dyDescent="0.25">
      <c r="V92" s="65"/>
      <c r="W92" s="190"/>
      <c r="X92" s="190"/>
      <c r="Y92" s="277"/>
    </row>
    <row r="93" spans="22:25" ht="15" customHeight="1" x14ac:dyDescent="0.25">
      <c r="V93" s="65"/>
      <c r="W93" s="190"/>
      <c r="X93" s="190"/>
      <c r="Y93" s="277"/>
    </row>
    <row r="94" spans="22:25" ht="15" customHeight="1" x14ac:dyDescent="0.25">
      <c r="V94" s="65"/>
      <c r="W94" s="190"/>
      <c r="X94" s="190"/>
      <c r="Y94" s="277"/>
    </row>
    <row r="95" spans="22:25" ht="15" customHeight="1" x14ac:dyDescent="0.25">
      <c r="V95" s="65"/>
      <c r="W95" s="190"/>
      <c r="X95" s="190"/>
      <c r="Y95" s="277"/>
    </row>
    <row r="96" spans="22:25" ht="15" customHeight="1" x14ac:dyDescent="0.25">
      <c r="V96" s="65"/>
      <c r="W96" s="190"/>
      <c r="X96" s="190"/>
      <c r="Y96" s="277"/>
    </row>
    <row r="97" spans="22:25" ht="15" customHeight="1" x14ac:dyDescent="0.25">
      <c r="V97" s="65"/>
      <c r="W97" s="190"/>
      <c r="X97" s="190"/>
      <c r="Y97" s="277"/>
    </row>
    <row r="98" spans="22:25" ht="15" customHeight="1" x14ac:dyDescent="0.25">
      <c r="V98" s="65"/>
      <c r="W98" s="190"/>
      <c r="X98" s="190"/>
      <c r="Y98" s="277"/>
    </row>
    <row r="99" spans="22:25" ht="15" customHeight="1" x14ac:dyDescent="0.25">
      <c r="V99" s="65"/>
      <c r="W99" s="190"/>
      <c r="X99" s="190"/>
      <c r="Y99" s="277"/>
    </row>
    <row r="100" spans="22:25" ht="15" customHeight="1" x14ac:dyDescent="0.25">
      <c r="V100" s="65"/>
      <c r="W100" s="190"/>
      <c r="X100" s="190"/>
      <c r="Y100" s="277"/>
    </row>
    <row r="101" spans="22:25" ht="15" customHeight="1" x14ac:dyDescent="0.25">
      <c r="V101" s="65"/>
      <c r="W101" s="190"/>
      <c r="X101" s="190"/>
      <c r="Y101" s="277"/>
    </row>
    <row r="102" spans="22:25" ht="15" customHeight="1" x14ac:dyDescent="0.25">
      <c r="V102" s="65"/>
      <c r="W102" s="190"/>
      <c r="X102" s="190"/>
      <c r="Y102" s="277"/>
    </row>
    <row r="103" spans="22:25" ht="15" customHeight="1" x14ac:dyDescent="0.25">
      <c r="V103" s="65"/>
      <c r="W103" s="190"/>
      <c r="X103" s="190"/>
      <c r="Y103" s="277"/>
    </row>
    <row r="104" spans="22:25" ht="15" customHeight="1" x14ac:dyDescent="0.25">
      <c r="V104" s="65"/>
      <c r="W104" s="190"/>
      <c r="X104" s="190"/>
      <c r="Y104" s="277"/>
    </row>
    <row r="105" spans="22:25" ht="15" customHeight="1" x14ac:dyDescent="0.25">
      <c r="V105" s="65"/>
      <c r="W105" s="190"/>
      <c r="X105" s="190"/>
      <c r="Y105" s="277"/>
    </row>
    <row r="106" spans="22:25" ht="15" customHeight="1" x14ac:dyDescent="0.25">
      <c r="V106" s="65"/>
      <c r="W106" s="190"/>
      <c r="X106" s="190"/>
      <c r="Y106" s="277"/>
    </row>
    <row r="107" spans="22:25" ht="15" customHeight="1" x14ac:dyDescent="0.25">
      <c r="V107" s="65"/>
      <c r="W107" s="190"/>
      <c r="X107" s="190"/>
      <c r="Y107" s="277"/>
    </row>
    <row r="108" spans="22:25" ht="15" customHeight="1" x14ac:dyDescent="0.25">
      <c r="V108" s="65"/>
      <c r="W108" s="190"/>
      <c r="X108" s="190"/>
      <c r="Y108" s="277"/>
    </row>
    <row r="109" spans="22:25" ht="15" customHeight="1" x14ac:dyDescent="0.25">
      <c r="V109" s="65"/>
      <c r="W109" s="190"/>
      <c r="X109" s="190"/>
      <c r="Y109" s="277"/>
    </row>
    <row r="110" spans="22:25" ht="15" customHeight="1" x14ac:dyDescent="0.25">
      <c r="V110" s="65"/>
      <c r="W110" s="190"/>
      <c r="X110" s="190"/>
      <c r="Y110" s="277"/>
    </row>
    <row r="111" spans="22:25" ht="15" customHeight="1" x14ac:dyDescent="0.25">
      <c r="V111" s="65"/>
      <c r="W111" s="190"/>
      <c r="X111" s="190"/>
      <c r="Y111" s="277"/>
    </row>
    <row r="112" spans="22:25" ht="15" customHeight="1" x14ac:dyDescent="0.25">
      <c r="V112" s="65"/>
      <c r="W112" s="190"/>
      <c r="X112" s="190"/>
      <c r="Y112" s="277"/>
    </row>
    <row r="113" spans="22:25" ht="15" customHeight="1" x14ac:dyDescent="0.25">
      <c r="V113" s="65"/>
      <c r="W113" s="190"/>
      <c r="X113" s="190"/>
      <c r="Y113" s="277"/>
    </row>
  </sheetData>
  <sheetProtection sheet="1" objects="1" scenarios="1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6386" r:id="rId4">
          <objectPr defaultSize="0" autoPict="0" r:id="rId5">
            <anchor moveWithCells="1" sizeWithCells="1">
              <from>
                <xdr:col>1</xdr:col>
                <xdr:colOff>66675</xdr:colOff>
                <xdr:row>0</xdr:row>
                <xdr:rowOff>85725</xdr:rowOff>
              </from>
              <to>
                <xdr:col>5</xdr:col>
                <xdr:colOff>209550</xdr:colOff>
                <xdr:row>2</xdr:row>
                <xdr:rowOff>133350</xdr:rowOff>
              </to>
            </anchor>
          </objectPr>
        </oleObject>
      </mc:Choice>
      <mc:Fallback>
        <oleObject progId="Equation.3" shapeId="16386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G19"/>
  <sheetViews>
    <sheetView tabSelected="1" workbookViewId="0">
      <selection activeCell="D4" sqref="D4:E4"/>
    </sheetView>
  </sheetViews>
  <sheetFormatPr baseColWidth="10" defaultRowHeight="15" x14ac:dyDescent="0.25"/>
  <cols>
    <col min="3" max="3" width="11.42578125" customWidth="1"/>
    <col min="5" max="5" width="11.42578125" customWidth="1"/>
  </cols>
  <sheetData>
    <row r="2" spans="2:7" x14ac:dyDescent="0.25">
      <c r="C2" s="60" t="s">
        <v>95</v>
      </c>
      <c r="D2" s="400">
        <f>2.99792458*10^8</f>
        <v>299792458</v>
      </c>
      <c r="E2" s="400"/>
      <c r="F2" s="85" t="s">
        <v>251</v>
      </c>
    </row>
    <row r="3" spans="2:7" x14ac:dyDescent="0.25">
      <c r="C3" s="60" t="s">
        <v>76</v>
      </c>
      <c r="D3" s="400">
        <f>-1.60219*10^(-19)</f>
        <v>-1.6021899999999999E-19</v>
      </c>
      <c r="E3" s="400"/>
      <c r="F3" s="85" t="s">
        <v>339</v>
      </c>
    </row>
    <row r="4" spans="2:7" x14ac:dyDescent="0.25">
      <c r="C4" s="60" t="s">
        <v>72</v>
      </c>
      <c r="D4" s="400">
        <f>6.62606957*10^(-34)</f>
        <v>6.6260695700000013E-34</v>
      </c>
      <c r="E4" s="400"/>
      <c r="F4" s="85" t="s">
        <v>340</v>
      </c>
    </row>
    <row r="8" spans="2:7" ht="15" customHeight="1" x14ac:dyDescent="0.25">
      <c r="B8" s="394" t="s">
        <v>343</v>
      </c>
      <c r="C8" s="401" t="s">
        <v>333</v>
      </c>
      <c r="D8" s="398"/>
      <c r="E8" s="396" t="s">
        <v>335</v>
      </c>
      <c r="F8" s="398" t="s">
        <v>334</v>
      </c>
      <c r="G8" s="284"/>
    </row>
    <row r="9" spans="2:7" x14ac:dyDescent="0.25">
      <c r="B9" s="395"/>
      <c r="C9" s="402"/>
      <c r="D9" s="399"/>
      <c r="E9" s="397"/>
      <c r="F9" s="399"/>
      <c r="G9" s="83"/>
    </row>
    <row r="10" spans="2:7" x14ac:dyDescent="0.25">
      <c r="B10" s="132"/>
      <c r="C10" s="287" t="s">
        <v>336</v>
      </c>
      <c r="D10" s="283" t="s">
        <v>342</v>
      </c>
      <c r="E10" s="290" t="s">
        <v>341</v>
      </c>
      <c r="F10" s="283" t="s">
        <v>337</v>
      </c>
      <c r="G10" s="83"/>
    </row>
    <row r="11" spans="2:7" x14ac:dyDescent="0.25">
      <c r="B11" s="285" t="s">
        <v>84</v>
      </c>
      <c r="C11" s="288">
        <f>7.58*10^(-19)</f>
        <v>7.5800000000000003E-19</v>
      </c>
      <c r="D11" s="281">
        <f t="shared" ref="D11:D18" si="0">C11/$D$3</f>
        <v>-4.7310244103383496</v>
      </c>
      <c r="E11" s="106">
        <f t="shared" ref="E11:E18" si="1">(C11/$D$4)/1000000000000</f>
        <v>1143.966256303584</v>
      </c>
      <c r="F11" s="27">
        <f>($D$2/E11)/1000</f>
        <v>262.06407430993448</v>
      </c>
      <c r="G11" s="83"/>
    </row>
    <row r="12" spans="2:7" x14ac:dyDescent="0.25">
      <c r="B12" s="285" t="s">
        <v>87</v>
      </c>
      <c r="C12" s="288">
        <f>6.54*10^(-19)</f>
        <v>6.5399999999999995E-19</v>
      </c>
      <c r="D12" s="281">
        <f t="shared" si="0"/>
        <v>-4.0819128817431141</v>
      </c>
      <c r="E12" s="106">
        <f t="shared" si="1"/>
        <v>987.01046388198404</v>
      </c>
      <c r="F12" s="27">
        <f t="shared" ref="F12:F18" si="2">($D$2/E12)/1000</f>
        <v>303.73787205952652</v>
      </c>
      <c r="G12" s="83"/>
    </row>
    <row r="13" spans="2:7" x14ac:dyDescent="0.25">
      <c r="B13" s="285" t="s">
        <v>85</v>
      </c>
      <c r="C13" s="288">
        <f>8.2*10^(-19)</f>
        <v>8.1999999999999987E-19</v>
      </c>
      <c r="D13" s="281">
        <f t="shared" si="0"/>
        <v>-5.1179947446932008</v>
      </c>
      <c r="E13" s="106">
        <f t="shared" si="1"/>
        <v>1237.5360556318453</v>
      </c>
      <c r="F13" s="27">
        <f t="shared" si="2"/>
        <v>242.24947356942727</v>
      </c>
      <c r="G13" s="83"/>
    </row>
    <row r="14" spans="2:7" x14ac:dyDescent="0.25">
      <c r="B14" s="285" t="s">
        <v>86</v>
      </c>
      <c r="C14" s="288">
        <f>7.5*10^(-19)</f>
        <v>7.4999999999999996E-19</v>
      </c>
      <c r="D14" s="281">
        <f t="shared" si="0"/>
        <v>-4.6810927542925622</v>
      </c>
      <c r="E14" s="106">
        <f t="shared" si="1"/>
        <v>1131.8927338096148</v>
      </c>
      <c r="F14" s="27">
        <f t="shared" si="2"/>
        <v>264.8594244359071</v>
      </c>
      <c r="G14" s="83"/>
    </row>
    <row r="15" spans="2:7" x14ac:dyDescent="0.25">
      <c r="B15" s="285" t="s">
        <v>88</v>
      </c>
      <c r="C15" s="288">
        <f>7.71*10^(-19)</f>
        <v>7.7099999999999998E-19</v>
      </c>
      <c r="D15" s="281">
        <f t="shared" si="0"/>
        <v>-4.812163351412754</v>
      </c>
      <c r="E15" s="106">
        <f t="shared" si="1"/>
        <v>1163.5857303562841</v>
      </c>
      <c r="F15" s="27">
        <f t="shared" si="2"/>
        <v>257.64535450963723</v>
      </c>
      <c r="G15" s="83"/>
    </row>
    <row r="16" spans="2:7" x14ac:dyDescent="0.25">
      <c r="B16" s="285" t="s">
        <v>338</v>
      </c>
      <c r="C16" s="288">
        <f>4.69*10^(-19)</f>
        <v>4.6900000000000007E-19</v>
      </c>
      <c r="D16" s="281">
        <f t="shared" si="0"/>
        <v>-2.9272433356842829</v>
      </c>
      <c r="E16" s="106">
        <f t="shared" si="1"/>
        <v>707.81025620894593</v>
      </c>
      <c r="F16" s="27">
        <f t="shared" si="2"/>
        <v>423.54918619814561</v>
      </c>
      <c r="G16" s="83"/>
    </row>
    <row r="17" spans="2:7" x14ac:dyDescent="0.25">
      <c r="B17" s="285" t="s">
        <v>91</v>
      </c>
      <c r="C17" s="288">
        <f>7.77*10^(-19)</f>
        <v>7.7699999999999989E-19</v>
      </c>
      <c r="D17" s="281">
        <f t="shared" si="0"/>
        <v>-4.8496120934470941</v>
      </c>
      <c r="E17" s="106">
        <f t="shared" si="1"/>
        <v>1172.6408722267608</v>
      </c>
      <c r="F17" s="27">
        <f t="shared" si="2"/>
        <v>255.65581509257444</v>
      </c>
      <c r="G17" s="83"/>
    </row>
    <row r="18" spans="2:7" x14ac:dyDescent="0.25">
      <c r="B18" s="286" t="s">
        <v>103</v>
      </c>
      <c r="C18" s="289">
        <f>3.67*10^(-19)</f>
        <v>3.67E-19</v>
      </c>
      <c r="D18" s="282">
        <f t="shared" si="0"/>
        <v>-2.2906147211004937</v>
      </c>
      <c r="E18" s="291">
        <f t="shared" si="1"/>
        <v>553.87284441083818</v>
      </c>
      <c r="F18" s="31">
        <f t="shared" si="2"/>
        <v>541.2658537518538</v>
      </c>
      <c r="G18" s="83"/>
    </row>
    <row r="19" spans="2:7" x14ac:dyDescent="0.25">
      <c r="B19" s="83"/>
      <c r="C19" s="83"/>
      <c r="D19" s="83"/>
      <c r="E19" s="83"/>
      <c r="F19" s="83"/>
      <c r="G19" s="83"/>
    </row>
  </sheetData>
  <sheetProtection sheet="1" objects="1" scenarios="1"/>
  <mergeCells count="7">
    <mergeCell ref="B8:B9"/>
    <mergeCell ref="E8:E9"/>
    <mergeCell ref="F8:F9"/>
    <mergeCell ref="D2:E2"/>
    <mergeCell ref="D3:E3"/>
    <mergeCell ref="D4:E4"/>
    <mergeCell ref="C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1"/>
  <sheetViews>
    <sheetView workbookViewId="0">
      <selection activeCell="E21" sqref="E21"/>
    </sheetView>
  </sheetViews>
  <sheetFormatPr baseColWidth="10" defaultColWidth="15.7109375" defaultRowHeight="15" customHeight="1" x14ac:dyDescent="0.25"/>
  <sheetData>
    <row r="2" spans="3:6" ht="15" customHeight="1" x14ac:dyDescent="0.25">
      <c r="C2" s="11" t="s">
        <v>14</v>
      </c>
      <c r="D2" s="12" t="s">
        <v>17</v>
      </c>
      <c r="E2" s="5">
        <v>695500</v>
      </c>
      <c r="F2" s="13" t="s">
        <v>15</v>
      </c>
    </row>
    <row r="3" spans="3:6" ht="15" customHeight="1" x14ac:dyDescent="0.25">
      <c r="C3" s="11" t="s">
        <v>16</v>
      </c>
      <c r="D3" s="12" t="s">
        <v>18</v>
      </c>
      <c r="E3" s="5">
        <v>149597870</v>
      </c>
      <c r="F3" s="13" t="s">
        <v>15</v>
      </c>
    </row>
    <row r="4" spans="3:6" ht="15" customHeight="1" x14ac:dyDescent="0.25">
      <c r="F4" s="13"/>
    </row>
    <row r="5" spans="3:6" ht="15" customHeight="1" x14ac:dyDescent="0.25">
      <c r="C5" s="11" t="s">
        <v>19</v>
      </c>
      <c r="D5" s="12" t="s">
        <v>21</v>
      </c>
      <c r="E5" s="5">
        <v>1367</v>
      </c>
      <c r="F5" s="13" t="s">
        <v>20</v>
      </c>
    </row>
    <row r="7" spans="3:6" ht="15" customHeight="1" x14ac:dyDescent="0.25">
      <c r="E7" s="14">
        <f>((E3/E2)^2)*E5</f>
        <v>63244835.300093271</v>
      </c>
      <c r="F7" s="13" t="s">
        <v>20</v>
      </c>
    </row>
    <row r="10" spans="3:6" ht="15" customHeight="1" x14ac:dyDescent="0.25">
      <c r="C10" s="15" t="s">
        <v>22</v>
      </c>
      <c r="D10" s="1">
        <f>5.67/100000000</f>
        <v>5.6699999999999998E-8</v>
      </c>
    </row>
    <row r="13" spans="3:6" ht="15" customHeight="1" x14ac:dyDescent="0.3">
      <c r="D13" s="16"/>
    </row>
    <row r="15" spans="3:6" ht="15" customHeight="1" x14ac:dyDescent="0.25">
      <c r="E15" s="5">
        <f>(E7/D10)^(1/4)</f>
        <v>5779.1038897929129</v>
      </c>
      <c r="F15" s="13" t="s">
        <v>23</v>
      </c>
    </row>
    <row r="18" spans="4:6" ht="15" customHeight="1" x14ac:dyDescent="0.25">
      <c r="E18" s="5">
        <f>(((40000000^2)/(4*PI()))*1367)/1000000000000</f>
        <v>174051.84576529678</v>
      </c>
      <c r="F18" t="s">
        <v>24</v>
      </c>
    </row>
    <row r="19" spans="4:6" ht="15" customHeight="1" x14ac:dyDescent="0.25">
      <c r="D19" s="11"/>
    </row>
    <row r="21" spans="4:6" ht="15" customHeight="1" x14ac:dyDescent="0.25">
      <c r="D21" t="s">
        <v>25</v>
      </c>
      <c r="E21">
        <f>125/(1.1*1.3)</f>
        <v>87.412587412587399</v>
      </c>
    </row>
  </sheetData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1</xdr:col>
                <xdr:colOff>295275</xdr:colOff>
                <xdr:row>5</xdr:row>
                <xdr:rowOff>19050</xdr:rowOff>
              </from>
              <to>
                <xdr:col>3</xdr:col>
                <xdr:colOff>161925</xdr:colOff>
                <xdr:row>8</xdr:row>
                <xdr:rowOff>19050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4</xdr:col>
                <xdr:colOff>47625</xdr:colOff>
                <xdr:row>8</xdr:row>
                <xdr:rowOff>152400</xdr:rowOff>
              </from>
              <to>
                <xdr:col>6</xdr:col>
                <xdr:colOff>0</xdr:colOff>
                <xdr:row>10</xdr:row>
                <xdr:rowOff>85725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r:id="rId9">
            <anchor moveWithCells="1">
              <from>
                <xdr:col>1</xdr:col>
                <xdr:colOff>742950</xdr:colOff>
                <xdr:row>10</xdr:row>
                <xdr:rowOff>171450</xdr:rowOff>
              </from>
              <to>
                <xdr:col>2</xdr:col>
                <xdr:colOff>542925</xdr:colOff>
                <xdr:row>12</xdr:row>
                <xdr:rowOff>28575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>
              <from>
                <xdr:col>1</xdr:col>
                <xdr:colOff>276225</xdr:colOff>
                <xdr:row>12</xdr:row>
                <xdr:rowOff>180975</xdr:rowOff>
              </from>
              <to>
                <xdr:col>3</xdr:col>
                <xdr:colOff>171450</xdr:colOff>
                <xdr:row>15</xdr:row>
                <xdr:rowOff>161925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r:id="rId13">
            <anchor moveWithCells="1">
              <from>
                <xdr:col>1</xdr:col>
                <xdr:colOff>209550</xdr:colOff>
                <xdr:row>16</xdr:row>
                <xdr:rowOff>76200</xdr:rowOff>
              </from>
              <to>
                <xdr:col>3</xdr:col>
                <xdr:colOff>171450</xdr:colOff>
                <xdr:row>18</xdr:row>
                <xdr:rowOff>114300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3"/>
  <sheetViews>
    <sheetView topLeftCell="H19" zoomScale="85" zoomScaleNormal="85" workbookViewId="0">
      <selection activeCell="V35" sqref="V35"/>
    </sheetView>
  </sheetViews>
  <sheetFormatPr baseColWidth="10" defaultRowHeight="15" customHeight="1" x14ac:dyDescent="0.25"/>
  <cols>
    <col min="12" max="12" width="11.42578125" customWidth="1"/>
    <col min="14" max="18" width="11.42578125" customWidth="1"/>
  </cols>
  <sheetData>
    <row r="1" spans="10:19" ht="15" customHeight="1" x14ac:dyDescent="0.25">
      <c r="J1" s="11" t="s">
        <v>73</v>
      </c>
      <c r="K1" s="60" t="s">
        <v>72</v>
      </c>
      <c r="L1" s="1">
        <f>6.626*10^(-34)</f>
        <v>6.6260000000000015E-34</v>
      </c>
      <c r="M1" s="13" t="s">
        <v>74</v>
      </c>
    </row>
    <row r="2" spans="10:19" ht="15" customHeight="1" x14ac:dyDescent="0.25">
      <c r="J2" s="11" t="s">
        <v>75</v>
      </c>
      <c r="K2" s="60" t="s">
        <v>76</v>
      </c>
      <c r="L2" s="1">
        <f>-1.60219*10^(-19)</f>
        <v>-1.6021899999999999E-19</v>
      </c>
      <c r="M2" s="13" t="s">
        <v>77</v>
      </c>
      <c r="O2" s="67">
        <f>L1/L2</f>
        <v>-4.1355894119923368E-15</v>
      </c>
      <c r="P2" s="13" t="s">
        <v>98</v>
      </c>
    </row>
    <row r="3" spans="10:19" ht="15" customHeight="1" x14ac:dyDescent="0.25">
      <c r="J3" s="11" t="s">
        <v>94</v>
      </c>
      <c r="K3" s="60" t="s">
        <v>95</v>
      </c>
      <c r="L3" s="5">
        <v>299694110</v>
      </c>
      <c r="M3" s="13" t="s">
        <v>96</v>
      </c>
    </row>
    <row r="5" spans="10:19" ht="15" customHeight="1" x14ac:dyDescent="0.25">
      <c r="J5" s="300" t="s">
        <v>92</v>
      </c>
      <c r="K5" s="300"/>
      <c r="L5" s="300"/>
      <c r="M5" s="300"/>
      <c r="N5" s="300"/>
    </row>
    <row r="6" spans="10:19" ht="15" customHeight="1" x14ac:dyDescent="0.25">
      <c r="K6" s="299" t="s">
        <v>81</v>
      </c>
      <c r="L6" s="299"/>
      <c r="M6" s="64" t="s">
        <v>82</v>
      </c>
      <c r="N6" s="63" t="s">
        <v>83</v>
      </c>
    </row>
    <row r="7" spans="10:19" ht="15" customHeight="1" x14ac:dyDescent="0.25">
      <c r="J7" s="50" t="s">
        <v>78</v>
      </c>
      <c r="K7" s="2" t="s">
        <v>97</v>
      </c>
      <c r="L7" s="2" t="s">
        <v>47</v>
      </c>
      <c r="M7" s="2" t="s">
        <v>79</v>
      </c>
      <c r="N7" s="2" t="s">
        <v>80</v>
      </c>
    </row>
    <row r="8" spans="10:19" ht="15" customHeight="1" x14ac:dyDescent="0.25">
      <c r="J8" s="2" t="s">
        <v>84</v>
      </c>
      <c r="K8" s="65">
        <v>4.7300000000000004</v>
      </c>
      <c r="L8" s="66">
        <f t="shared" ref="L8:L11" si="0">K8*$L$2</f>
        <v>-7.5783587E-19</v>
      </c>
      <c r="M8" s="5">
        <v>262</v>
      </c>
      <c r="N8" s="67">
        <f>$L$3/(M8/1000000000)</f>
        <v>1143870648854961.8</v>
      </c>
    </row>
    <row r="9" spans="10:19" ht="15" customHeight="1" x14ac:dyDescent="0.25">
      <c r="J9" s="2" t="s">
        <v>87</v>
      </c>
      <c r="K9" s="65">
        <v>4.08</v>
      </c>
      <c r="L9" s="66">
        <f t="shared" si="0"/>
        <v>-6.5369352E-19</v>
      </c>
      <c r="M9" s="5">
        <v>304</v>
      </c>
      <c r="N9" s="67">
        <f t="shared" ref="N9:N11" si="1">$L$3/(M9/1000000000)</f>
        <v>985835888157894.63</v>
      </c>
      <c r="R9" s="1"/>
    </row>
    <row r="10" spans="10:19" ht="15" customHeight="1" x14ac:dyDescent="0.25">
      <c r="J10" s="2" t="s">
        <v>85</v>
      </c>
      <c r="K10" s="65">
        <v>5.0999999999999996</v>
      </c>
      <c r="L10" s="66">
        <f t="shared" si="0"/>
        <v>-8.1711689999999992E-19</v>
      </c>
      <c r="M10" s="5">
        <v>243</v>
      </c>
      <c r="N10" s="67">
        <f t="shared" si="1"/>
        <v>1233309094650205.8</v>
      </c>
      <c r="P10" s="64" t="s">
        <v>99</v>
      </c>
      <c r="Q10" s="63" t="s">
        <v>357</v>
      </c>
      <c r="S10" s="63" t="s">
        <v>100</v>
      </c>
    </row>
    <row r="11" spans="10:19" ht="15" customHeight="1" x14ac:dyDescent="0.25">
      <c r="J11" s="2" t="s">
        <v>86</v>
      </c>
      <c r="K11" s="65">
        <v>4.7</v>
      </c>
      <c r="L11" s="66">
        <f t="shared" si="0"/>
        <v>-7.5302929999999995E-19</v>
      </c>
      <c r="M11" s="5">
        <v>264</v>
      </c>
      <c r="N11" s="67">
        <f t="shared" si="1"/>
        <v>1135204962121212.3</v>
      </c>
      <c r="P11" s="76"/>
      <c r="Q11" s="5">
        <f t="shared" ref="Q11" si="2">($N$11/1000000000000)*(O11/5)</f>
        <v>0</v>
      </c>
      <c r="R11" s="65">
        <f>IF(-($K$13+$O$2*Q11*1000000000000)+$R$9&lt;0,0,-($K$13+$O$2*Q11*1000000000000)+$R$9)</f>
        <v>0</v>
      </c>
      <c r="S11" s="10">
        <f>-($O$2*Q11)*1000000000000-$K$13</f>
        <v>-2.29</v>
      </c>
    </row>
    <row r="12" spans="10:19" ht="15" customHeight="1" x14ac:dyDescent="0.25">
      <c r="J12" s="2" t="s">
        <v>102</v>
      </c>
      <c r="K12" s="65">
        <v>2.36</v>
      </c>
      <c r="L12" s="66">
        <f t="shared" ref="L12" si="3">K12*$L$2</f>
        <v>-3.7811683999999994E-19</v>
      </c>
      <c r="M12" s="5">
        <v>525</v>
      </c>
      <c r="N12" s="67">
        <f t="shared" ref="N12" si="4">$L$3/(M12/1000000000)</f>
        <v>570845923809523.88</v>
      </c>
      <c r="P12" s="76"/>
      <c r="Q12" s="5">
        <f>100+Q11</f>
        <v>100</v>
      </c>
      <c r="R12" s="65">
        <f t="shared" ref="R12:R24" si="5">IF(-($K$13+$O$2*Q12*1000000000000)+$R$9&lt;0,0,-($K$13+$O$2*Q12*1000000000000)+$R$9)</f>
        <v>0</v>
      </c>
      <c r="S12" s="10"/>
    </row>
    <row r="13" spans="10:19" ht="15" customHeight="1" x14ac:dyDescent="0.25">
      <c r="J13" s="2" t="s">
        <v>103</v>
      </c>
      <c r="K13" s="65">
        <v>2.29</v>
      </c>
      <c r="L13" s="66">
        <f t="shared" ref="L13" si="6">K13*$L$2</f>
        <v>-3.6690150999999997E-19</v>
      </c>
      <c r="M13" s="5">
        <v>541</v>
      </c>
      <c r="N13" s="67">
        <f t="shared" ref="N13" si="7">$L$3/(M13/1000000000)</f>
        <v>553963234750462.13</v>
      </c>
      <c r="P13" s="76"/>
      <c r="Q13" s="5">
        <f t="shared" ref="Q13:Q16" si="8">100+Q12</f>
        <v>200</v>
      </c>
      <c r="R13" s="65">
        <f t="shared" si="5"/>
        <v>0</v>
      </c>
      <c r="S13" s="10"/>
    </row>
    <row r="14" spans="10:19" ht="15" customHeight="1" x14ac:dyDescent="0.25">
      <c r="J14" s="2" t="s">
        <v>88</v>
      </c>
      <c r="K14" s="65">
        <v>4.8099999999999996</v>
      </c>
      <c r="L14" s="66">
        <f>K14*$L$2</f>
        <v>-7.7065338999999993E-19</v>
      </c>
      <c r="M14" s="5">
        <v>258</v>
      </c>
      <c r="N14" s="67">
        <f>$L$3/(M14/1000000000)</f>
        <v>1161605077519379.8</v>
      </c>
      <c r="P14" s="76"/>
      <c r="Q14" s="5">
        <f t="shared" si="8"/>
        <v>300</v>
      </c>
      <c r="R14" s="65">
        <f t="shared" si="5"/>
        <v>0</v>
      </c>
      <c r="S14" s="10"/>
    </row>
    <row r="15" spans="10:19" ht="15" customHeight="1" x14ac:dyDescent="0.25">
      <c r="J15" s="2" t="s">
        <v>89</v>
      </c>
      <c r="K15" s="65">
        <v>5.35</v>
      </c>
      <c r="L15" s="66">
        <f>K15*$L$2</f>
        <v>-8.5717164999999985E-19</v>
      </c>
      <c r="M15" s="5">
        <v>232</v>
      </c>
      <c r="N15" s="67">
        <f>$L$3/(M15/1000000000)</f>
        <v>1291784956896551.8</v>
      </c>
      <c r="P15" s="76"/>
      <c r="Q15" s="5">
        <f t="shared" si="8"/>
        <v>400</v>
      </c>
      <c r="R15" s="65">
        <f t="shared" si="5"/>
        <v>0</v>
      </c>
      <c r="S15" s="10"/>
    </row>
    <row r="16" spans="10:19" ht="15" customHeight="1" x14ac:dyDescent="0.25">
      <c r="J16" s="2" t="s">
        <v>90</v>
      </c>
      <c r="K16" s="65">
        <v>4.25</v>
      </c>
      <c r="L16" s="66">
        <f>K16*$L$2</f>
        <v>-6.8093074999999998E-19</v>
      </c>
      <c r="M16" s="5">
        <v>292</v>
      </c>
      <c r="N16" s="67">
        <f>$L$3/(M16/1000000000)</f>
        <v>1026349691780821.9</v>
      </c>
      <c r="O16" s="75"/>
      <c r="Q16" s="5">
        <f t="shared" si="8"/>
        <v>500</v>
      </c>
      <c r="R16" s="65">
        <f t="shared" si="5"/>
        <v>0</v>
      </c>
    </row>
    <row r="17" spans="1:20" s="52" customFormat="1" ht="15" customHeight="1" x14ac:dyDescent="0.25">
      <c r="J17" s="2" t="s">
        <v>91</v>
      </c>
      <c r="K17" s="65">
        <v>4.8499999999999996</v>
      </c>
      <c r="L17" s="66">
        <f>K17*$L$2</f>
        <v>-7.770621499999999E-19</v>
      </c>
      <c r="M17" s="5">
        <v>256</v>
      </c>
      <c r="N17" s="67">
        <f>$L$3/(M17/1000000000)</f>
        <v>1170680117187500</v>
      </c>
      <c r="P17" s="82">
        <f>M13</f>
        <v>541</v>
      </c>
      <c r="Q17" s="51">
        <f>($L$3/(P17/1000000000))/1000000000000</f>
        <v>553.96323475046211</v>
      </c>
      <c r="R17" s="65">
        <f t="shared" si="5"/>
        <v>9.6448826703632307E-4</v>
      </c>
      <c r="S17" s="10">
        <f>-($O$2*Q17)*1000000000000-$K$13</f>
        <v>9.6448826703632307E-4</v>
      </c>
      <c r="T17" s="81" t="s">
        <v>103</v>
      </c>
    </row>
    <row r="18" spans="1:20" ht="15" customHeight="1" x14ac:dyDescent="0.25">
      <c r="J18" s="2" t="s">
        <v>101</v>
      </c>
      <c r="K18" s="65">
        <v>4.42</v>
      </c>
      <c r="L18" s="66">
        <f>K18*$L$2</f>
        <v>-7.0816797999999997E-19</v>
      </c>
      <c r="M18" s="5">
        <v>281</v>
      </c>
      <c r="N18" s="67">
        <f>$L$3/(M18/1000000000)</f>
        <v>1066527081850533.9</v>
      </c>
      <c r="P18" s="77">
        <f>$C$26/10</f>
        <v>510.5</v>
      </c>
      <c r="Q18" s="51">
        <f t="shared" ref="Q18" si="9">($L$3/(P18/1000000000))/1000000000000</f>
        <v>587.0599608227227</v>
      </c>
      <c r="R18" s="65">
        <f t="shared" si="5"/>
        <v>0.13783895818308789</v>
      </c>
      <c r="S18" s="10">
        <f>-($O$2*Q18)*1000000000000-$K$13</f>
        <v>0.13783895818308789</v>
      </c>
      <c r="T18" s="81" t="s">
        <v>86</v>
      </c>
    </row>
    <row r="19" spans="1:20" ht="15" customHeight="1" x14ac:dyDescent="0.25">
      <c r="Q19" s="5">
        <f>100+Q16</f>
        <v>600</v>
      </c>
      <c r="R19" s="65">
        <f t="shared" si="5"/>
        <v>0.19135364719540204</v>
      </c>
    </row>
    <row r="20" spans="1:20" ht="15" customHeight="1" x14ac:dyDescent="0.25">
      <c r="A20" s="52"/>
      <c r="B20" s="52"/>
      <c r="C20" s="52"/>
      <c r="D20" s="53" t="s">
        <v>69</v>
      </c>
      <c r="E20" s="52"/>
      <c r="F20" s="52"/>
      <c r="G20" s="52"/>
      <c r="H20" s="52"/>
      <c r="I20" s="300" t="s">
        <v>93</v>
      </c>
      <c r="J20" s="300"/>
      <c r="K20" s="300"/>
      <c r="L20" s="300"/>
      <c r="M20" s="300"/>
      <c r="N20" s="300"/>
      <c r="P20" s="78">
        <f>$F$29/10</f>
        <v>480</v>
      </c>
      <c r="Q20" s="51">
        <f>($L$3/(P20/1000000000))/1000000000000</f>
        <v>624.36272916666678</v>
      </c>
      <c r="R20" s="65">
        <f t="shared" si="5"/>
        <v>0.29210789198430609</v>
      </c>
      <c r="S20" s="10">
        <f>-($O$2*Q20)*1000000000000-$K$13</f>
        <v>0.29210789198430609</v>
      </c>
      <c r="T20" s="81" t="s">
        <v>105</v>
      </c>
    </row>
    <row r="21" spans="1:20" ht="15" customHeight="1" x14ac:dyDescent="0.25">
      <c r="B21" s="50" t="s">
        <v>70</v>
      </c>
      <c r="C21" s="50" t="s">
        <v>65</v>
      </c>
      <c r="D21" s="50" t="s">
        <v>66</v>
      </c>
      <c r="E21" s="50" t="s">
        <v>67</v>
      </c>
      <c r="F21" s="50" t="s">
        <v>71</v>
      </c>
      <c r="G21" s="50" t="s">
        <v>68</v>
      </c>
      <c r="I21" s="50" t="s">
        <v>70</v>
      </c>
      <c r="J21" s="50" t="s">
        <v>65</v>
      </c>
      <c r="K21" s="50" t="s">
        <v>66</v>
      </c>
      <c r="L21" s="50" t="s">
        <v>67</v>
      </c>
      <c r="M21" s="50" t="s">
        <v>71</v>
      </c>
      <c r="N21" s="50" t="s">
        <v>68</v>
      </c>
      <c r="P21" s="79">
        <f>$D$26/10</f>
        <v>435.8</v>
      </c>
      <c r="Q21" s="51">
        <f>($L$3/(P21/1000000000))/1000000000000</f>
        <v>687.68726480036707</v>
      </c>
      <c r="R21" s="65">
        <f t="shared" si="5"/>
        <v>0.55399217107036858</v>
      </c>
      <c r="S21" s="10">
        <f>-($O$2*Q21)*1000000000000-$K$13</f>
        <v>0.55399217107036858</v>
      </c>
      <c r="T21" s="81" t="s">
        <v>104</v>
      </c>
    </row>
    <row r="22" spans="1:20" ht="15" customHeight="1" x14ac:dyDescent="0.25">
      <c r="B22" s="5">
        <v>3083</v>
      </c>
      <c r="C22" s="5">
        <v>3248</v>
      </c>
      <c r="D22" s="5">
        <v>3126</v>
      </c>
      <c r="E22" s="56">
        <v>5890</v>
      </c>
      <c r="F22" s="5">
        <v>3261</v>
      </c>
      <c r="G22" s="5">
        <v>3036</v>
      </c>
      <c r="I22" s="61">
        <f>B22/10</f>
        <v>308.3</v>
      </c>
      <c r="J22" s="61">
        <f t="shared" ref="J22:J31" si="10">C22/10</f>
        <v>324.8</v>
      </c>
      <c r="K22" s="61">
        <f t="shared" ref="K22:K33" si="11">D22/10</f>
        <v>312.60000000000002</v>
      </c>
      <c r="L22" s="62">
        <f t="shared" ref="L22" si="12">E22/10</f>
        <v>589</v>
      </c>
      <c r="M22" s="61">
        <f t="shared" ref="M22:M33" si="13">F22/10</f>
        <v>326.10000000000002</v>
      </c>
      <c r="N22" s="61">
        <f t="shared" ref="N22:N31" si="14">G22/10</f>
        <v>303.60000000000002</v>
      </c>
      <c r="Q22" s="5">
        <f>100+Q19</f>
        <v>700</v>
      </c>
      <c r="R22" s="65">
        <f t="shared" si="5"/>
        <v>0.6049125883946358</v>
      </c>
    </row>
    <row r="23" spans="1:20" ht="15" customHeight="1" x14ac:dyDescent="0.25">
      <c r="B23" s="5">
        <v>3093</v>
      </c>
      <c r="C23" s="5">
        <v>3274</v>
      </c>
      <c r="D23" s="5">
        <v>3131</v>
      </c>
      <c r="E23" s="57">
        <v>5895</v>
      </c>
      <c r="F23" s="5">
        <v>3404</v>
      </c>
      <c r="G23" s="5">
        <v>3072</v>
      </c>
      <c r="I23" s="61">
        <f t="shared" ref="I23:I29" si="15">B23/10</f>
        <v>309.3</v>
      </c>
      <c r="J23" s="61">
        <f t="shared" si="10"/>
        <v>327.39999999999998</v>
      </c>
      <c r="K23" s="61">
        <f t="shared" si="11"/>
        <v>313.10000000000002</v>
      </c>
      <c r="L23" s="72">
        <f>$E$23/10</f>
        <v>589.5</v>
      </c>
      <c r="M23" s="61">
        <f t="shared" si="13"/>
        <v>340.4</v>
      </c>
      <c r="N23" s="61">
        <f t="shared" si="14"/>
        <v>307.2</v>
      </c>
      <c r="P23" s="80">
        <f>$B$25/10</f>
        <v>396.2</v>
      </c>
      <c r="Q23" s="51">
        <f>($L$3/(P23/1000000000))/1000000000000</f>
        <v>756.42127713276125</v>
      </c>
      <c r="R23" s="65">
        <f t="shared" si="5"/>
        <v>0.83824782471596837</v>
      </c>
      <c r="S23" s="10">
        <f>-($O$2*Q23)*1000000000000-$K$13</f>
        <v>0.83824782471596837</v>
      </c>
      <c r="T23" s="81" t="s">
        <v>87</v>
      </c>
    </row>
    <row r="24" spans="1:20" ht="15" customHeight="1" x14ac:dyDescent="0.25">
      <c r="B24" s="5">
        <v>3944</v>
      </c>
      <c r="C24" s="5">
        <v>4023</v>
      </c>
      <c r="D24" s="5">
        <v>3650</v>
      </c>
      <c r="E24" s="5"/>
      <c r="F24" s="5">
        <v>3466</v>
      </c>
      <c r="G24" s="5">
        <v>3345</v>
      </c>
      <c r="I24" s="61">
        <f t="shared" si="15"/>
        <v>394.4</v>
      </c>
      <c r="J24" s="61">
        <f t="shared" si="10"/>
        <v>402.3</v>
      </c>
      <c r="K24" s="61">
        <f t="shared" si="11"/>
        <v>365</v>
      </c>
      <c r="L24" s="61"/>
      <c r="M24" s="61">
        <f t="shared" si="13"/>
        <v>346.6</v>
      </c>
      <c r="N24" s="61">
        <f t="shared" si="14"/>
        <v>334.5</v>
      </c>
      <c r="P24" s="1"/>
      <c r="Q24" s="3">
        <v>800</v>
      </c>
      <c r="R24" s="65">
        <f t="shared" si="5"/>
        <v>1.0184715295938696</v>
      </c>
      <c r="S24" s="10"/>
    </row>
    <row r="25" spans="1:20" ht="15" customHeight="1" x14ac:dyDescent="0.25">
      <c r="B25" s="59">
        <v>3962</v>
      </c>
      <c r="C25" s="5">
        <v>4063</v>
      </c>
      <c r="D25" s="5">
        <v>4047</v>
      </c>
      <c r="E25" s="5"/>
      <c r="F25" s="5">
        <v>3611</v>
      </c>
      <c r="G25" s="5">
        <v>4680</v>
      </c>
      <c r="I25" s="69">
        <f>$B$25/10</f>
        <v>396.2</v>
      </c>
      <c r="J25" s="61">
        <f t="shared" si="10"/>
        <v>406.3</v>
      </c>
      <c r="K25" s="61">
        <f t="shared" si="11"/>
        <v>404.7</v>
      </c>
      <c r="L25" s="61"/>
      <c r="M25" s="61">
        <f t="shared" si="13"/>
        <v>361.1</v>
      </c>
      <c r="N25" s="61">
        <f t="shared" si="14"/>
        <v>468</v>
      </c>
      <c r="P25" s="1"/>
      <c r="Q25" s="3"/>
      <c r="R25" s="3"/>
      <c r="S25" s="10"/>
    </row>
    <row r="26" spans="1:20" ht="15" customHeight="1" x14ac:dyDescent="0.25">
      <c r="B26" s="5">
        <v>4663</v>
      </c>
      <c r="C26" s="51">
        <v>5105</v>
      </c>
      <c r="D26" s="54">
        <v>4358</v>
      </c>
      <c r="E26" s="5"/>
      <c r="F26" s="5">
        <v>3982</v>
      </c>
      <c r="G26" s="5">
        <v>4722</v>
      </c>
      <c r="I26" s="61">
        <f t="shared" si="15"/>
        <v>466.3</v>
      </c>
      <c r="J26" s="70">
        <f>$C$26/10</f>
        <v>510.5</v>
      </c>
      <c r="K26" s="71">
        <f>$D$26/10</f>
        <v>435.8</v>
      </c>
      <c r="L26" s="61"/>
      <c r="M26" s="61">
        <f t="shared" si="13"/>
        <v>398.2</v>
      </c>
      <c r="N26" s="61">
        <f t="shared" si="14"/>
        <v>472.2</v>
      </c>
      <c r="P26" s="1"/>
      <c r="Q26" s="3"/>
      <c r="R26" s="3"/>
      <c r="S26" s="10"/>
    </row>
    <row r="27" spans="1:20" ht="15" customHeight="1" x14ac:dyDescent="0.25">
      <c r="B27" s="5">
        <v>5057</v>
      </c>
      <c r="C27" s="51">
        <v>5153</v>
      </c>
      <c r="D27" s="5">
        <v>4916</v>
      </c>
      <c r="E27" s="5"/>
      <c r="F27" s="5">
        <v>4413</v>
      </c>
      <c r="G27" s="5">
        <v>4811</v>
      </c>
      <c r="I27" s="61">
        <f t="shared" si="15"/>
        <v>505.7</v>
      </c>
      <c r="J27" s="62">
        <f t="shared" si="10"/>
        <v>515.29999999999995</v>
      </c>
      <c r="K27" s="61">
        <f t="shared" si="11"/>
        <v>491.6</v>
      </c>
      <c r="L27" s="61"/>
      <c r="M27" s="61">
        <f t="shared" si="13"/>
        <v>441.3</v>
      </c>
      <c r="N27" s="61">
        <f t="shared" si="14"/>
        <v>481.1</v>
      </c>
      <c r="P27" s="1"/>
      <c r="Q27" s="3"/>
      <c r="R27" s="3"/>
      <c r="S27" s="10"/>
    </row>
    <row r="28" spans="1:20" ht="15" customHeight="1" x14ac:dyDescent="0.25">
      <c r="B28" s="5">
        <v>5696</v>
      </c>
      <c r="C28" s="51">
        <v>5218</v>
      </c>
      <c r="D28" s="5">
        <v>4960</v>
      </c>
      <c r="E28" s="5"/>
      <c r="F28" s="5">
        <v>4678</v>
      </c>
      <c r="G28" s="51">
        <v>4912</v>
      </c>
      <c r="I28" s="61">
        <f t="shared" si="15"/>
        <v>569.6</v>
      </c>
      <c r="J28" s="62">
        <f t="shared" si="10"/>
        <v>521.79999999999995</v>
      </c>
      <c r="K28" s="61">
        <f t="shared" si="11"/>
        <v>496</v>
      </c>
      <c r="L28" s="61"/>
      <c r="M28" s="61">
        <f t="shared" si="13"/>
        <v>467.8</v>
      </c>
      <c r="N28" s="62">
        <f t="shared" si="14"/>
        <v>491.2</v>
      </c>
      <c r="P28" s="1"/>
      <c r="Q28" s="3"/>
      <c r="R28" s="3"/>
      <c r="S28" s="10"/>
    </row>
    <row r="29" spans="1:20" ht="15" customHeight="1" x14ac:dyDescent="0.25">
      <c r="B29" s="5">
        <v>5723</v>
      </c>
      <c r="C29" s="51">
        <v>5700</v>
      </c>
      <c r="D29" s="51">
        <v>5461</v>
      </c>
      <c r="E29" s="5"/>
      <c r="F29" s="51">
        <v>4800</v>
      </c>
      <c r="G29" s="5">
        <v>4925</v>
      </c>
      <c r="I29" s="61">
        <f t="shared" si="15"/>
        <v>572.29999999999995</v>
      </c>
      <c r="J29" s="62">
        <f t="shared" si="10"/>
        <v>570</v>
      </c>
      <c r="K29" s="62">
        <f t="shared" si="11"/>
        <v>546.1</v>
      </c>
      <c r="L29" s="61"/>
      <c r="M29" s="73">
        <f>$F$29/10</f>
        <v>480</v>
      </c>
      <c r="N29" s="61">
        <f t="shared" si="14"/>
        <v>492.5</v>
      </c>
      <c r="P29" s="1"/>
      <c r="Q29" s="3"/>
      <c r="R29" s="3"/>
      <c r="S29" s="10"/>
    </row>
    <row r="30" spans="1:20" ht="15" customHeight="1" x14ac:dyDescent="0.25">
      <c r="C30" s="51">
        <v>5782</v>
      </c>
      <c r="D30" s="51">
        <v>5770</v>
      </c>
      <c r="F30" s="55">
        <v>5086</v>
      </c>
      <c r="G30" s="51">
        <v>6103</v>
      </c>
      <c r="I30" s="61"/>
      <c r="J30" s="68">
        <f t="shared" si="10"/>
        <v>578.20000000000005</v>
      </c>
      <c r="K30" s="62">
        <f t="shared" si="11"/>
        <v>577</v>
      </c>
      <c r="L30" s="61"/>
      <c r="M30" s="62">
        <f t="shared" si="13"/>
        <v>508.6</v>
      </c>
      <c r="N30" s="74">
        <f>$G$30/10</f>
        <v>610.29999999999995</v>
      </c>
      <c r="P30" s="1"/>
      <c r="Q30" s="3"/>
      <c r="R30" s="3"/>
      <c r="S30" s="10"/>
    </row>
    <row r="31" spans="1:20" ht="15" customHeight="1" x14ac:dyDescent="0.25">
      <c r="D31" s="51">
        <v>5791</v>
      </c>
      <c r="F31" s="5">
        <v>5338</v>
      </c>
      <c r="G31" s="5">
        <v>6332</v>
      </c>
      <c r="I31" s="61"/>
      <c r="J31" s="61">
        <f t="shared" si="10"/>
        <v>0</v>
      </c>
      <c r="K31" s="62">
        <f t="shared" si="11"/>
        <v>579.1</v>
      </c>
      <c r="L31" s="61"/>
      <c r="M31" s="61">
        <f t="shared" si="13"/>
        <v>533.79999999999995</v>
      </c>
      <c r="N31" s="61">
        <f t="shared" si="14"/>
        <v>633.20000000000005</v>
      </c>
      <c r="P31" s="1"/>
      <c r="Q31" s="3"/>
      <c r="R31" s="3"/>
      <c r="S31" s="10"/>
    </row>
    <row r="32" spans="1:20" ht="15" customHeight="1" x14ac:dyDescent="0.25">
      <c r="D32" s="5">
        <v>6152</v>
      </c>
      <c r="F32" s="5">
        <v>5379</v>
      </c>
      <c r="I32" s="61"/>
      <c r="J32" s="61"/>
      <c r="K32" s="61">
        <f t="shared" si="11"/>
        <v>615.20000000000005</v>
      </c>
      <c r="L32" s="61"/>
      <c r="M32" s="61">
        <f t="shared" si="13"/>
        <v>537.9</v>
      </c>
      <c r="N32" s="61"/>
      <c r="P32" s="1"/>
    </row>
    <row r="33" spans="4:16" ht="15" customHeight="1" x14ac:dyDescent="0.25">
      <c r="D33" s="5">
        <v>6232</v>
      </c>
      <c r="F33" s="58">
        <v>6438</v>
      </c>
      <c r="I33" s="61"/>
      <c r="J33" s="61"/>
      <c r="K33" s="61">
        <f t="shared" si="11"/>
        <v>623.20000000000005</v>
      </c>
      <c r="L33" s="61"/>
      <c r="M33" s="62">
        <f t="shared" si="13"/>
        <v>643.79999999999995</v>
      </c>
      <c r="N33" s="61"/>
      <c r="P33" s="1"/>
    </row>
  </sheetData>
  <mergeCells count="3">
    <mergeCell ref="K6:L6"/>
    <mergeCell ref="J5:N5"/>
    <mergeCell ref="I20:N20"/>
  </mergeCells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4098" r:id="rId4">
          <objectPr defaultSize="0" autoPict="0" r:id="rId5">
            <anchor moveWithCells="1">
              <from>
                <xdr:col>14</xdr:col>
                <xdr:colOff>704850</xdr:colOff>
                <xdr:row>5</xdr:row>
                <xdr:rowOff>133350</xdr:rowOff>
              </from>
              <to>
                <xdr:col>17</xdr:col>
                <xdr:colOff>114300</xdr:colOff>
                <xdr:row>7</xdr:row>
                <xdr:rowOff>180975</xdr:rowOff>
              </to>
            </anchor>
          </objectPr>
        </oleObject>
      </mc:Choice>
      <mc:Fallback>
        <oleObject progId="Equation.3" shapeId="4098" r:id="rId4"/>
      </mc:Fallback>
    </mc:AlternateContent>
    <mc:AlternateContent xmlns:mc="http://schemas.openxmlformats.org/markup-compatibility/2006">
      <mc:Choice Requires="x14">
        <oleObject progId="Equation.3" shapeId="4099" r:id="rId6">
          <objectPr defaultSize="0" r:id="rId7">
            <anchor moveWithCells="1">
              <from>
                <xdr:col>14</xdr:col>
                <xdr:colOff>723900</xdr:colOff>
                <xdr:row>2</xdr:row>
                <xdr:rowOff>152400</xdr:rowOff>
              </from>
              <to>
                <xdr:col>16</xdr:col>
                <xdr:colOff>619125</xdr:colOff>
                <xdr:row>3</xdr:row>
                <xdr:rowOff>180975</xdr:rowOff>
              </to>
            </anchor>
          </objectPr>
        </oleObject>
      </mc:Choice>
      <mc:Fallback>
        <oleObject progId="Equation.3" shapeId="4099" r:id="rId6"/>
      </mc:Fallback>
    </mc:AlternateContent>
    <mc:AlternateContent xmlns:mc="http://schemas.openxmlformats.org/markup-compatibility/2006">
      <mc:Choice Requires="x14">
        <oleObject progId="Equation.3" shapeId="4100" r:id="rId8">
          <objectPr defaultSize="0" autoPict="0" r:id="rId9">
            <anchor moveWithCells="1">
              <from>
                <xdr:col>12</xdr:col>
                <xdr:colOff>723900</xdr:colOff>
                <xdr:row>0</xdr:row>
                <xdr:rowOff>76200</xdr:rowOff>
              </from>
              <to>
                <xdr:col>14</xdr:col>
                <xdr:colOff>0</xdr:colOff>
                <xdr:row>2</xdr:row>
                <xdr:rowOff>142875</xdr:rowOff>
              </to>
            </anchor>
          </objectPr>
        </oleObject>
      </mc:Choice>
      <mc:Fallback>
        <oleObject progId="Equation.3" shapeId="4100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U26"/>
  <sheetViews>
    <sheetView workbookViewId="0">
      <selection activeCell="Q17" sqref="Q17"/>
    </sheetView>
  </sheetViews>
  <sheetFormatPr baseColWidth="10" defaultRowHeight="15" x14ac:dyDescent="0.25"/>
  <cols>
    <col min="5" max="5" width="8.7109375" customWidth="1"/>
    <col min="6" max="8" width="6.7109375" hidden="1" customWidth="1"/>
    <col min="9" max="14" width="6.7109375" customWidth="1"/>
    <col min="15" max="20" width="8.7109375" customWidth="1"/>
  </cols>
  <sheetData>
    <row r="3" spans="2:21" x14ac:dyDescent="0.25">
      <c r="E3" s="301" t="s">
        <v>63</v>
      </c>
      <c r="F3" s="17"/>
      <c r="G3" s="17"/>
      <c r="H3" s="17"/>
      <c r="I3" s="304" t="s">
        <v>60</v>
      </c>
      <c r="J3" s="304"/>
      <c r="K3" s="304"/>
      <c r="L3" s="304"/>
      <c r="M3" s="304"/>
      <c r="N3" s="304"/>
      <c r="O3" s="304" t="s">
        <v>56</v>
      </c>
      <c r="P3" s="304"/>
      <c r="Q3" s="304"/>
      <c r="R3" s="305" t="s">
        <v>61</v>
      </c>
      <c r="S3" s="305"/>
    </row>
    <row r="4" spans="2:21" x14ac:dyDescent="0.25">
      <c r="E4" s="302"/>
      <c r="F4" s="17"/>
      <c r="G4" s="17"/>
      <c r="H4" s="17"/>
      <c r="I4" s="304"/>
      <c r="J4" s="304"/>
      <c r="K4" s="304"/>
      <c r="L4" s="304"/>
      <c r="M4" s="304"/>
      <c r="N4" s="304"/>
      <c r="O4" s="304"/>
      <c r="P4" s="304"/>
      <c r="Q4" s="304"/>
      <c r="R4" s="305"/>
      <c r="S4" s="305"/>
    </row>
    <row r="5" spans="2:21" ht="15" customHeight="1" x14ac:dyDescent="0.25">
      <c r="E5" s="302"/>
      <c r="F5" s="17"/>
      <c r="G5" s="17"/>
      <c r="H5" s="17"/>
      <c r="I5" s="304" t="s">
        <v>38</v>
      </c>
      <c r="J5" s="304" t="s">
        <v>39</v>
      </c>
      <c r="K5" s="305" t="s">
        <v>52</v>
      </c>
      <c r="L5" s="304" t="s">
        <v>57</v>
      </c>
      <c r="M5" s="304" t="s">
        <v>64</v>
      </c>
      <c r="N5" s="304" t="s">
        <v>53</v>
      </c>
      <c r="O5" s="304" t="s">
        <v>53</v>
      </c>
      <c r="P5" s="304" t="s">
        <v>54</v>
      </c>
      <c r="Q5" s="304" t="s">
        <v>62</v>
      </c>
      <c r="R5" s="306" t="s">
        <v>58</v>
      </c>
      <c r="S5" s="306" t="s">
        <v>59</v>
      </c>
    </row>
    <row r="6" spans="2:21" x14ac:dyDescent="0.25">
      <c r="E6" s="302"/>
      <c r="F6" s="17"/>
      <c r="G6" s="17"/>
      <c r="H6" s="17"/>
      <c r="I6" s="304"/>
      <c r="J6" s="304"/>
      <c r="K6" s="305"/>
      <c r="L6" s="304"/>
      <c r="M6" s="304"/>
      <c r="N6" s="304"/>
      <c r="O6" s="304"/>
      <c r="P6" s="304"/>
      <c r="Q6" s="304"/>
      <c r="R6" s="306"/>
      <c r="S6" s="306"/>
      <c r="U6" s="5" t="s">
        <v>50</v>
      </c>
    </row>
    <row r="7" spans="2:21" x14ac:dyDescent="0.25">
      <c r="E7" s="303"/>
      <c r="F7" s="18" t="s">
        <v>38</v>
      </c>
      <c r="G7" s="18" t="s">
        <v>39</v>
      </c>
      <c r="H7" s="18" t="s">
        <v>57</v>
      </c>
      <c r="I7" s="18" t="s">
        <v>44</v>
      </c>
      <c r="J7" s="18" t="s">
        <v>44</v>
      </c>
      <c r="K7" s="18" t="s">
        <v>44</v>
      </c>
      <c r="L7" s="18" t="s">
        <v>44</v>
      </c>
      <c r="M7" s="32"/>
      <c r="N7" s="18" t="s">
        <v>44</v>
      </c>
      <c r="O7" s="46" t="s">
        <v>40</v>
      </c>
      <c r="P7" s="46" t="s">
        <v>40</v>
      </c>
      <c r="Q7" s="46" t="s">
        <v>40</v>
      </c>
      <c r="R7" s="19" t="s">
        <v>51</v>
      </c>
      <c r="S7" s="19" t="s">
        <v>48</v>
      </c>
      <c r="U7" s="5">
        <f t="shared" ref="U7:U14" si="0">R8/$C$9</f>
        <v>-14425.261244888687</v>
      </c>
    </row>
    <row r="8" spans="2:21" x14ac:dyDescent="0.25">
      <c r="E8" s="32" t="s">
        <v>26</v>
      </c>
      <c r="F8" s="20">
        <v>1</v>
      </c>
      <c r="G8" s="20">
        <f>F8*2+2</f>
        <v>4</v>
      </c>
      <c r="H8" s="20">
        <f>F8*2+G8/2</f>
        <v>4</v>
      </c>
      <c r="I8" s="35">
        <f t="shared" ref="I8:I15" si="1">F8*$C$10</f>
        <v>12</v>
      </c>
      <c r="J8" s="20">
        <f t="shared" ref="J8:J15" si="2">G8*$C$11</f>
        <v>4</v>
      </c>
      <c r="K8" s="20">
        <f t="shared" ref="K8:K15" si="3">(I8+J8)</f>
        <v>16</v>
      </c>
      <c r="L8" s="20">
        <f t="shared" ref="L8:L15" si="4">H8*$C$12</f>
        <v>64</v>
      </c>
      <c r="M8" s="46">
        <f>K8+L8</f>
        <v>80</v>
      </c>
      <c r="N8" s="20">
        <f t="shared" ref="N8:N15" si="5">F8*($C$10+2*$C$12)</f>
        <v>44</v>
      </c>
      <c r="O8" s="40">
        <f>-F8*$C$14</f>
        <v>-393.52</v>
      </c>
      <c r="P8" s="21">
        <f>-(G8/2)*$C$15</f>
        <v>-571.67999999999995</v>
      </c>
      <c r="Q8" s="41">
        <f t="shared" ref="Q8:Q15" si="6">(O8+P8)</f>
        <v>-965.19999999999993</v>
      </c>
      <c r="R8" s="22">
        <f t="shared" ref="R8:R15" si="7">(Q8/K8)*1000</f>
        <v>-60324.999999999993</v>
      </c>
      <c r="S8" s="23">
        <f t="shared" ref="S8:S15" si="8">(Q8/(K8+L8))*1000</f>
        <v>-12065</v>
      </c>
      <c r="U8" s="5">
        <f t="shared" si="0"/>
        <v>-13108.555122472242</v>
      </c>
    </row>
    <row r="9" spans="2:21" x14ac:dyDescent="0.25">
      <c r="B9" s="11" t="s">
        <v>46</v>
      </c>
      <c r="C9" s="1">
        <v>4.1818999999999997</v>
      </c>
      <c r="D9" t="s">
        <v>47</v>
      </c>
      <c r="E9" s="33" t="s">
        <v>27</v>
      </c>
      <c r="F9" s="24">
        <f>1+F8</f>
        <v>2</v>
      </c>
      <c r="G9" s="24">
        <f t="shared" ref="G9:G15" si="9">F9*2+2</f>
        <v>6</v>
      </c>
      <c r="H9" s="24">
        <f t="shared" ref="H9:H15" si="10">F9*2+G9/2</f>
        <v>7</v>
      </c>
      <c r="I9" s="36">
        <f t="shared" si="1"/>
        <v>24</v>
      </c>
      <c r="J9" s="24">
        <f t="shared" si="2"/>
        <v>6</v>
      </c>
      <c r="K9" s="24">
        <f t="shared" si="3"/>
        <v>30</v>
      </c>
      <c r="L9" s="24">
        <f t="shared" si="4"/>
        <v>112</v>
      </c>
      <c r="M9" s="47">
        <f t="shared" ref="M9:M15" si="11">K9+L9</f>
        <v>142</v>
      </c>
      <c r="N9" s="24">
        <f t="shared" si="5"/>
        <v>88</v>
      </c>
      <c r="O9" s="42">
        <f t="shared" ref="O9:O15" si="12">-F9*$C$14</f>
        <v>-787.04</v>
      </c>
      <c r="P9" s="25">
        <f t="shared" ref="P9:P15" si="13">-(G9/2)*$C$15</f>
        <v>-857.52</v>
      </c>
      <c r="Q9" s="43">
        <f t="shared" si="6"/>
        <v>-1644.56</v>
      </c>
      <c r="R9" s="26">
        <f t="shared" si="7"/>
        <v>-54818.666666666664</v>
      </c>
      <c r="S9" s="27">
        <f t="shared" si="8"/>
        <v>-11581.408450704226</v>
      </c>
      <c r="U9" s="5">
        <f t="shared" si="0"/>
        <v>-12629.752896138991</v>
      </c>
    </row>
    <row r="10" spans="2:21" x14ac:dyDescent="0.25">
      <c r="B10" s="11" t="s">
        <v>43</v>
      </c>
      <c r="C10" s="1">
        <v>12</v>
      </c>
      <c r="D10" t="s">
        <v>44</v>
      </c>
      <c r="E10" s="33" t="s">
        <v>28</v>
      </c>
      <c r="F10" s="24">
        <f t="shared" ref="F10:F15" si="14">1+F9</f>
        <v>3</v>
      </c>
      <c r="G10" s="24">
        <f t="shared" si="9"/>
        <v>8</v>
      </c>
      <c r="H10" s="24">
        <f t="shared" si="10"/>
        <v>10</v>
      </c>
      <c r="I10" s="36">
        <f t="shared" si="1"/>
        <v>36</v>
      </c>
      <c r="J10" s="24">
        <f t="shared" si="2"/>
        <v>8</v>
      </c>
      <c r="K10" s="24">
        <f t="shared" si="3"/>
        <v>44</v>
      </c>
      <c r="L10" s="24">
        <f t="shared" si="4"/>
        <v>160</v>
      </c>
      <c r="M10" s="47">
        <f t="shared" si="11"/>
        <v>204</v>
      </c>
      <c r="N10" s="24">
        <f t="shared" si="5"/>
        <v>132</v>
      </c>
      <c r="O10" s="42">
        <f t="shared" si="12"/>
        <v>-1180.56</v>
      </c>
      <c r="P10" s="25">
        <f t="shared" si="13"/>
        <v>-1143.3599999999999</v>
      </c>
      <c r="Q10" s="43">
        <f t="shared" si="6"/>
        <v>-2323.92</v>
      </c>
      <c r="R10" s="26">
        <f t="shared" si="7"/>
        <v>-52816.36363636364</v>
      </c>
      <c r="S10" s="27">
        <f t="shared" si="8"/>
        <v>-11391.764705882353</v>
      </c>
      <c r="U10" s="5">
        <f t="shared" si="0"/>
        <v>-12382.096572173512</v>
      </c>
    </row>
    <row r="11" spans="2:21" x14ac:dyDescent="0.25">
      <c r="B11" s="11" t="s">
        <v>55</v>
      </c>
      <c r="C11" s="1">
        <v>1</v>
      </c>
      <c r="D11" t="s">
        <v>44</v>
      </c>
      <c r="E11" s="33" t="s">
        <v>29</v>
      </c>
      <c r="F11" s="24">
        <f t="shared" si="14"/>
        <v>4</v>
      </c>
      <c r="G11" s="24">
        <f t="shared" si="9"/>
        <v>10</v>
      </c>
      <c r="H11" s="24">
        <f t="shared" si="10"/>
        <v>13</v>
      </c>
      <c r="I11" s="36">
        <f t="shared" si="1"/>
        <v>48</v>
      </c>
      <c r="J11" s="24">
        <f t="shared" si="2"/>
        <v>10</v>
      </c>
      <c r="K11" s="24">
        <f t="shared" si="3"/>
        <v>58</v>
      </c>
      <c r="L11" s="24">
        <f t="shared" si="4"/>
        <v>208</v>
      </c>
      <c r="M11" s="47">
        <f t="shared" si="11"/>
        <v>266</v>
      </c>
      <c r="N11" s="24">
        <f t="shared" si="5"/>
        <v>176</v>
      </c>
      <c r="O11" s="42">
        <f t="shared" si="12"/>
        <v>-1574.08</v>
      </c>
      <c r="P11" s="25">
        <f t="shared" si="13"/>
        <v>-1429.1999999999998</v>
      </c>
      <c r="Q11" s="43">
        <f t="shared" si="6"/>
        <v>-3003.2799999999997</v>
      </c>
      <c r="R11" s="26">
        <f t="shared" si="7"/>
        <v>-51780.689655172406</v>
      </c>
      <c r="S11" s="27">
        <f t="shared" si="8"/>
        <v>-11290.526315789473</v>
      </c>
      <c r="U11" s="5">
        <f t="shared" si="0"/>
        <v>-12230.751040861278</v>
      </c>
    </row>
    <row r="12" spans="2:21" x14ac:dyDescent="0.25">
      <c r="B12" s="11" t="s">
        <v>45</v>
      </c>
      <c r="C12" s="1">
        <v>16</v>
      </c>
      <c r="D12" t="s">
        <v>44</v>
      </c>
      <c r="E12" s="33" t="s">
        <v>30</v>
      </c>
      <c r="F12" s="24">
        <f t="shared" si="14"/>
        <v>5</v>
      </c>
      <c r="G12" s="24">
        <f t="shared" si="9"/>
        <v>12</v>
      </c>
      <c r="H12" s="24">
        <f t="shared" si="10"/>
        <v>16</v>
      </c>
      <c r="I12" s="36">
        <f t="shared" si="1"/>
        <v>60</v>
      </c>
      <c r="J12" s="24">
        <f t="shared" si="2"/>
        <v>12</v>
      </c>
      <c r="K12" s="24">
        <f t="shared" si="3"/>
        <v>72</v>
      </c>
      <c r="L12" s="24">
        <f t="shared" si="4"/>
        <v>256</v>
      </c>
      <c r="M12" s="47">
        <f t="shared" si="11"/>
        <v>328</v>
      </c>
      <c r="N12" s="24">
        <f t="shared" si="5"/>
        <v>220</v>
      </c>
      <c r="O12" s="42">
        <f t="shared" si="12"/>
        <v>-1967.6</v>
      </c>
      <c r="P12" s="25">
        <f t="shared" si="13"/>
        <v>-1715.04</v>
      </c>
      <c r="Q12" s="43">
        <f t="shared" si="6"/>
        <v>-3682.64</v>
      </c>
      <c r="R12" s="26">
        <f t="shared" si="7"/>
        <v>-51147.777777777774</v>
      </c>
      <c r="S12" s="27">
        <f t="shared" si="8"/>
        <v>-11227.560975609755</v>
      </c>
      <c r="U12" s="5">
        <f t="shared" si="0"/>
        <v>-12128.680798813491</v>
      </c>
    </row>
    <row r="13" spans="2:21" x14ac:dyDescent="0.25">
      <c r="E13" s="33" t="s">
        <v>31</v>
      </c>
      <c r="F13" s="24">
        <f t="shared" si="14"/>
        <v>6</v>
      </c>
      <c r="G13" s="24">
        <f t="shared" si="9"/>
        <v>14</v>
      </c>
      <c r="H13" s="24">
        <f t="shared" si="10"/>
        <v>19</v>
      </c>
      <c r="I13" s="36">
        <f t="shared" si="1"/>
        <v>72</v>
      </c>
      <c r="J13" s="24">
        <f t="shared" si="2"/>
        <v>14</v>
      </c>
      <c r="K13" s="24">
        <f t="shared" si="3"/>
        <v>86</v>
      </c>
      <c r="L13" s="24">
        <f t="shared" si="4"/>
        <v>304</v>
      </c>
      <c r="M13" s="47">
        <f t="shared" si="11"/>
        <v>390</v>
      </c>
      <c r="N13" s="24">
        <f t="shared" si="5"/>
        <v>264</v>
      </c>
      <c r="O13" s="42">
        <f t="shared" si="12"/>
        <v>-2361.12</v>
      </c>
      <c r="P13" s="25">
        <f t="shared" si="13"/>
        <v>-2000.8799999999999</v>
      </c>
      <c r="Q13" s="43">
        <f t="shared" si="6"/>
        <v>-4362</v>
      </c>
      <c r="R13" s="26">
        <f t="shared" si="7"/>
        <v>-50720.930232558138</v>
      </c>
      <c r="S13" s="27">
        <f t="shared" si="8"/>
        <v>-11184.615384615385</v>
      </c>
      <c r="U13" s="5">
        <f t="shared" si="0"/>
        <v>-12055.190224539085</v>
      </c>
    </row>
    <row r="14" spans="2:21" x14ac:dyDescent="0.25">
      <c r="B14" s="11" t="s">
        <v>41</v>
      </c>
      <c r="C14" s="1">
        <v>393.52</v>
      </c>
      <c r="D14" t="s">
        <v>40</v>
      </c>
      <c r="E14" s="33" t="s">
        <v>32</v>
      </c>
      <c r="F14" s="24">
        <f t="shared" si="14"/>
        <v>7</v>
      </c>
      <c r="G14" s="24">
        <f t="shared" si="9"/>
        <v>16</v>
      </c>
      <c r="H14" s="24">
        <f t="shared" si="10"/>
        <v>22</v>
      </c>
      <c r="I14" s="36">
        <f t="shared" si="1"/>
        <v>84</v>
      </c>
      <c r="J14" s="24">
        <f t="shared" si="2"/>
        <v>16</v>
      </c>
      <c r="K14" s="24">
        <f t="shared" si="3"/>
        <v>100</v>
      </c>
      <c r="L14" s="24">
        <f t="shared" si="4"/>
        <v>352</v>
      </c>
      <c r="M14" s="47">
        <f t="shared" si="11"/>
        <v>452</v>
      </c>
      <c r="N14" s="24">
        <f t="shared" si="5"/>
        <v>308</v>
      </c>
      <c r="O14" s="42">
        <f t="shared" si="12"/>
        <v>-2754.64</v>
      </c>
      <c r="P14" s="25">
        <f t="shared" si="13"/>
        <v>-2286.7199999999998</v>
      </c>
      <c r="Q14" s="43">
        <f t="shared" si="6"/>
        <v>-5041.3599999999997</v>
      </c>
      <c r="R14" s="26">
        <f t="shared" si="7"/>
        <v>-50413.599999999999</v>
      </c>
      <c r="S14" s="27">
        <f t="shared" si="8"/>
        <v>-11153.451327433628</v>
      </c>
      <c r="U14" s="5">
        <f t="shared" si="0"/>
        <v>-11999.74996675313</v>
      </c>
    </row>
    <row r="15" spans="2:21" x14ac:dyDescent="0.25">
      <c r="B15" s="11" t="s">
        <v>42</v>
      </c>
      <c r="C15" s="1">
        <v>285.83999999999997</v>
      </c>
      <c r="D15" t="s">
        <v>40</v>
      </c>
      <c r="E15" s="34" t="s">
        <v>33</v>
      </c>
      <c r="F15" s="28">
        <f t="shared" si="14"/>
        <v>8</v>
      </c>
      <c r="G15" s="28">
        <f t="shared" si="9"/>
        <v>18</v>
      </c>
      <c r="H15" s="28">
        <f t="shared" si="10"/>
        <v>25</v>
      </c>
      <c r="I15" s="38">
        <f t="shared" si="1"/>
        <v>96</v>
      </c>
      <c r="J15" s="28">
        <f t="shared" si="2"/>
        <v>18</v>
      </c>
      <c r="K15" s="28">
        <f t="shared" si="3"/>
        <v>114</v>
      </c>
      <c r="L15" s="28">
        <f t="shared" si="4"/>
        <v>400</v>
      </c>
      <c r="M15" s="48">
        <f t="shared" si="11"/>
        <v>514</v>
      </c>
      <c r="N15" s="28">
        <f t="shared" si="5"/>
        <v>352</v>
      </c>
      <c r="O15" s="44">
        <f t="shared" si="12"/>
        <v>-3148.16</v>
      </c>
      <c r="P15" s="29">
        <f t="shared" si="13"/>
        <v>-2572.56</v>
      </c>
      <c r="Q15" s="45">
        <f t="shared" si="6"/>
        <v>-5720.7199999999993</v>
      </c>
      <c r="R15" s="30">
        <f t="shared" si="7"/>
        <v>-50181.754385964909</v>
      </c>
      <c r="S15" s="31">
        <f t="shared" si="8"/>
        <v>-11129.805447470815</v>
      </c>
      <c r="U15" s="5">
        <f>R23/$C$9</f>
        <v>-11956.437265357852</v>
      </c>
    </row>
    <row r="17" spans="2:21" x14ac:dyDescent="0.25">
      <c r="B17" s="11" t="s">
        <v>41</v>
      </c>
      <c r="C17" s="10">
        <f>C14/$C$10</f>
        <v>32.793333333333329</v>
      </c>
      <c r="D17" t="s">
        <v>48</v>
      </c>
      <c r="K17" s="49">
        <f>100/K15</f>
        <v>0.8771929824561403</v>
      </c>
      <c r="L17" s="49">
        <f>$K$17*L15</f>
        <v>350.87719298245611</v>
      </c>
      <c r="M17" s="49"/>
      <c r="N17" s="49">
        <f t="shared" ref="N17" si="15">$K$17*N15</f>
        <v>308.77192982456137</v>
      </c>
      <c r="Q17" s="49">
        <f t="shared" ref="Q17" si="16">$K$17*Q15</f>
        <v>-5018.1754385964905</v>
      </c>
      <c r="R17" s="49"/>
    </row>
    <row r="18" spans="2:21" x14ac:dyDescent="0.25">
      <c r="B18" s="11" t="s">
        <v>42</v>
      </c>
      <c r="C18" s="10">
        <f>C15/$C$12</f>
        <v>17.864999999999998</v>
      </c>
      <c r="D18" t="s">
        <v>48</v>
      </c>
    </row>
    <row r="20" spans="2:21" x14ac:dyDescent="0.25">
      <c r="B20" s="11" t="s">
        <v>41</v>
      </c>
      <c r="C20" s="10">
        <f>C17/$C$9</f>
        <v>7.8417306328064589</v>
      </c>
      <c r="D20" t="s">
        <v>49</v>
      </c>
    </row>
    <row r="21" spans="2:21" x14ac:dyDescent="0.25">
      <c r="B21" s="11" t="s">
        <v>42</v>
      </c>
      <c r="C21" s="10">
        <f>C18/$C$9</f>
        <v>4.2719816351419206</v>
      </c>
      <c r="D21" t="s">
        <v>49</v>
      </c>
    </row>
    <row r="23" spans="2:21" x14ac:dyDescent="0.25">
      <c r="B23" s="11" t="s">
        <v>41</v>
      </c>
      <c r="C23" s="5">
        <f>C20*1000</f>
        <v>7841.7306328064587</v>
      </c>
      <c r="D23" t="s">
        <v>50</v>
      </c>
      <c r="E23" s="33" t="s">
        <v>34</v>
      </c>
      <c r="F23" s="24">
        <f>1+F15</f>
        <v>9</v>
      </c>
      <c r="G23" s="24">
        <f>F23*2+2</f>
        <v>20</v>
      </c>
      <c r="H23" s="24">
        <f>F23*2+G23/2</f>
        <v>28</v>
      </c>
      <c r="I23" s="36">
        <f>F23*$C$10</f>
        <v>108</v>
      </c>
      <c r="J23" s="24">
        <f>G23*$C$11</f>
        <v>20</v>
      </c>
      <c r="K23" s="24">
        <f>(I23+J23)</f>
        <v>128</v>
      </c>
      <c r="L23" s="24">
        <f>H23*$C$12</f>
        <v>448</v>
      </c>
      <c r="M23" s="47">
        <f t="shared" ref="M23:M26" si="17">K23+L23</f>
        <v>576</v>
      </c>
      <c r="N23" s="37">
        <f>F23*($C$10+2*$C$12)</f>
        <v>396</v>
      </c>
      <c r="O23" s="42">
        <f>-F23*$C$14</f>
        <v>-3541.68</v>
      </c>
      <c r="P23" s="25">
        <f>-(G23/2)*$C$15</f>
        <v>-2858.3999999999996</v>
      </c>
      <c r="Q23" s="43">
        <f>(O23+P23)</f>
        <v>-6400.08</v>
      </c>
      <c r="R23" s="26">
        <f>(Q23/K23)*1000</f>
        <v>-50000.625</v>
      </c>
      <c r="S23" s="27">
        <f>(Q23/(K23+L23))*1000</f>
        <v>-11111.25</v>
      </c>
      <c r="U23" s="5">
        <f>R24/$C$9</f>
        <v>-11921.665096632067</v>
      </c>
    </row>
    <row r="24" spans="2:21" x14ac:dyDescent="0.25">
      <c r="B24" s="11" t="s">
        <v>42</v>
      </c>
      <c r="C24" s="5">
        <f>C21*1000</f>
        <v>4271.9816351419204</v>
      </c>
      <c r="D24" t="s">
        <v>50</v>
      </c>
      <c r="E24" s="33" t="s">
        <v>35</v>
      </c>
      <c r="F24" s="24">
        <f>1+F23</f>
        <v>10</v>
      </c>
      <c r="G24" s="24">
        <f>F24*2+2</f>
        <v>22</v>
      </c>
      <c r="H24" s="24">
        <f>F24*2+G24/2</f>
        <v>31</v>
      </c>
      <c r="I24" s="36">
        <f>F24*$C$10</f>
        <v>120</v>
      </c>
      <c r="J24" s="24">
        <f>G24*$C$11</f>
        <v>22</v>
      </c>
      <c r="K24" s="24">
        <f>(I24+J24)</f>
        <v>142</v>
      </c>
      <c r="L24" s="24">
        <f>H24*$C$12</f>
        <v>496</v>
      </c>
      <c r="M24" s="47">
        <f t="shared" si="17"/>
        <v>638</v>
      </c>
      <c r="N24" s="37">
        <f>F24*($C$10+2*$C$12)</f>
        <v>440</v>
      </c>
      <c r="O24" s="42">
        <f t="shared" ref="O24:O26" si="18">-F24*$C$14</f>
        <v>-3935.2</v>
      </c>
      <c r="P24" s="25">
        <f t="shared" ref="P24:P26" si="19">-(G24/2)*$C$15</f>
        <v>-3144.24</v>
      </c>
      <c r="Q24" s="43">
        <f>(O24+P24)</f>
        <v>-7079.44</v>
      </c>
      <c r="R24" s="26">
        <f>(Q24/K24)*1000</f>
        <v>-49855.211267605635</v>
      </c>
      <c r="S24" s="27">
        <f>(Q24/(K24+L24))*1000</f>
        <v>-11096.30094043887</v>
      </c>
      <c r="U24" s="5">
        <f>R25/$C$9</f>
        <v>-11893.134086395521</v>
      </c>
    </row>
    <row r="25" spans="2:21" x14ac:dyDescent="0.25">
      <c r="E25" s="33" t="s">
        <v>36</v>
      </c>
      <c r="F25" s="24">
        <f>1+F24</f>
        <v>11</v>
      </c>
      <c r="G25" s="24">
        <f>F25*2+2</f>
        <v>24</v>
      </c>
      <c r="H25" s="24">
        <f>F25*2+G25/2</f>
        <v>34</v>
      </c>
      <c r="I25" s="36">
        <f>F25*$C$10</f>
        <v>132</v>
      </c>
      <c r="J25" s="24">
        <f>G25*$C$11</f>
        <v>24</v>
      </c>
      <c r="K25" s="24">
        <f>(I25+J25)</f>
        <v>156</v>
      </c>
      <c r="L25" s="24">
        <f>H25*$C$12</f>
        <v>544</v>
      </c>
      <c r="M25" s="47">
        <f t="shared" si="17"/>
        <v>700</v>
      </c>
      <c r="N25" s="37">
        <f>F25*($C$10+2*$C$12)</f>
        <v>484</v>
      </c>
      <c r="O25" s="42">
        <f t="shared" si="18"/>
        <v>-4328.7199999999993</v>
      </c>
      <c r="P25" s="25">
        <f t="shared" si="19"/>
        <v>-3430.08</v>
      </c>
      <c r="Q25" s="43">
        <f>(O25+P25)</f>
        <v>-7758.7999999999993</v>
      </c>
      <c r="R25" s="26">
        <f>(Q25/K25)*1000</f>
        <v>-49735.89743589743</v>
      </c>
      <c r="S25" s="27">
        <f>(Q25/(K25+L25))*1000</f>
        <v>-11084</v>
      </c>
      <c r="U25" s="5">
        <f>R26/$C$9</f>
        <v>-11869.30230137441</v>
      </c>
    </row>
    <row r="26" spans="2:21" x14ac:dyDescent="0.25">
      <c r="E26" s="34" t="s">
        <v>37</v>
      </c>
      <c r="F26" s="28">
        <f>1+F25</f>
        <v>12</v>
      </c>
      <c r="G26" s="28">
        <f>F26*2+2</f>
        <v>26</v>
      </c>
      <c r="H26" s="28">
        <f>F26*2+G26/2</f>
        <v>37</v>
      </c>
      <c r="I26" s="38">
        <f>F26*$C$10</f>
        <v>144</v>
      </c>
      <c r="J26" s="28">
        <f>G26*$C$11</f>
        <v>26</v>
      </c>
      <c r="K26" s="28">
        <f>(I26+J26)</f>
        <v>170</v>
      </c>
      <c r="L26" s="28">
        <f>H26*$C$12</f>
        <v>592</v>
      </c>
      <c r="M26" s="47">
        <f t="shared" si="17"/>
        <v>762</v>
      </c>
      <c r="N26" s="39">
        <f>F26*($C$10+2*$C$12)</f>
        <v>528</v>
      </c>
      <c r="O26" s="44">
        <f t="shared" si="18"/>
        <v>-4722.24</v>
      </c>
      <c r="P26" s="29">
        <f t="shared" si="19"/>
        <v>-3715.9199999999996</v>
      </c>
      <c r="Q26" s="45">
        <f>(O26+P26)</f>
        <v>-8438.16</v>
      </c>
      <c r="R26" s="30">
        <f>(Q26/K26)*1000</f>
        <v>-49636.235294117643</v>
      </c>
      <c r="S26" s="31">
        <f>(Q26/(K26+L26))*1000</f>
        <v>-11073.700787401574</v>
      </c>
    </row>
  </sheetData>
  <mergeCells count="15">
    <mergeCell ref="E3:E7"/>
    <mergeCell ref="I3:N4"/>
    <mergeCell ref="O3:Q4"/>
    <mergeCell ref="R3:S4"/>
    <mergeCell ref="R5:R6"/>
    <mergeCell ref="S5:S6"/>
    <mergeCell ref="Q5:Q6"/>
    <mergeCell ref="P5:P6"/>
    <mergeCell ref="O5:O6"/>
    <mergeCell ref="N5:N6"/>
    <mergeCell ref="L5:L6"/>
    <mergeCell ref="K5:K6"/>
    <mergeCell ref="J5:J6"/>
    <mergeCell ref="I5:I6"/>
    <mergeCell ref="M5:M6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52"/>
  <sheetViews>
    <sheetView zoomScale="70" zoomScaleNormal="70" workbookViewId="0">
      <selection activeCell="AE42" sqref="AE42"/>
    </sheetView>
  </sheetViews>
  <sheetFormatPr baseColWidth="10" defaultRowHeight="15" customHeight="1" x14ac:dyDescent="0.25"/>
  <cols>
    <col min="9" max="9" width="11.42578125" customWidth="1"/>
    <col min="12" max="12" width="11.42578125" customWidth="1"/>
    <col min="17" max="17" width="6.7109375" bestFit="1" customWidth="1"/>
    <col min="18" max="20" width="8.28515625" bestFit="1" customWidth="1"/>
    <col min="21" max="21" width="7.85546875" bestFit="1" customWidth="1"/>
    <col min="22" max="24" width="8.28515625" bestFit="1" customWidth="1"/>
    <col min="25" max="25" width="9.28515625" bestFit="1" customWidth="1"/>
    <col min="26" max="26" width="8.28515625" bestFit="1" customWidth="1"/>
    <col min="27" max="27" width="7.42578125" bestFit="1" customWidth="1"/>
    <col min="28" max="28" width="7.85546875" bestFit="1" customWidth="1"/>
    <col min="29" max="29" width="8.28515625" bestFit="1" customWidth="1"/>
    <col min="30" max="30" width="8.85546875" bestFit="1" customWidth="1"/>
  </cols>
  <sheetData>
    <row r="1" spans="1:30" ht="15" customHeight="1" x14ac:dyDescent="0.25">
      <c r="A1" s="293" t="s">
        <v>189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5"/>
      <c r="O1" s="91"/>
      <c r="P1" s="91"/>
      <c r="Q1" s="309" t="str">
        <f>A1</f>
        <v>CAUDAL   MENUSAL  RÍO  LAUCA  SEGÚN  ESTADÍSTICAS  DE  DIEZ  AÑOS:  (Cifras en   [l/s])</v>
      </c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1"/>
      <c r="AD1" s="14"/>
    </row>
    <row r="2" spans="1:30" ht="15" customHeight="1" x14ac:dyDescent="0.25">
      <c r="A2" s="296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8"/>
      <c r="O2" s="91"/>
      <c r="P2" s="91"/>
      <c r="Q2" s="312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4"/>
    </row>
    <row r="3" spans="1:30" ht="15" customHeight="1" x14ac:dyDescent="0.25">
      <c r="A3" s="18" t="s">
        <v>126</v>
      </c>
      <c r="B3" s="118" t="s">
        <v>125</v>
      </c>
      <c r="C3" s="118" t="s">
        <v>115</v>
      </c>
      <c r="D3" s="118" t="s">
        <v>116</v>
      </c>
      <c r="E3" s="118" t="s">
        <v>117</v>
      </c>
      <c r="F3" s="118" t="s">
        <v>118</v>
      </c>
      <c r="G3" s="118" t="s">
        <v>119</v>
      </c>
      <c r="H3" s="118" t="s">
        <v>127</v>
      </c>
      <c r="I3" s="118" t="s">
        <v>120</v>
      </c>
      <c r="J3" s="118" t="s">
        <v>121</v>
      </c>
      <c r="K3" s="118" t="s">
        <v>122</v>
      </c>
      <c r="L3" s="118" t="s">
        <v>123</v>
      </c>
      <c r="M3" s="118" t="s">
        <v>124</v>
      </c>
      <c r="N3" s="119" t="s">
        <v>128</v>
      </c>
      <c r="O3" s="92"/>
      <c r="P3" s="92"/>
      <c r="Q3" s="315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7"/>
    </row>
    <row r="4" spans="1:30" ht="15" customHeight="1" x14ac:dyDescent="0.25">
      <c r="A4" s="33">
        <v>2001</v>
      </c>
      <c r="B4" s="112">
        <v>49</v>
      </c>
      <c r="C4" s="26">
        <v>907</v>
      </c>
      <c r="D4" s="26">
        <v>764</v>
      </c>
      <c r="E4" s="26">
        <v>532</v>
      </c>
      <c r="F4" s="26">
        <v>699</v>
      </c>
      <c r="G4" s="26">
        <v>829</v>
      </c>
      <c r="H4" s="26">
        <v>525</v>
      </c>
      <c r="I4" s="26">
        <v>1259</v>
      </c>
      <c r="J4" s="26">
        <v>1094</v>
      </c>
      <c r="K4" s="113">
        <v>96</v>
      </c>
      <c r="L4" s="26">
        <v>50</v>
      </c>
      <c r="M4" s="26">
        <v>160</v>
      </c>
      <c r="N4" s="114">
        <f t="shared" ref="N4:N13" si="0">SUM(B4:M4)</f>
        <v>6964</v>
      </c>
      <c r="O4" s="93"/>
      <c r="P4" s="93"/>
      <c r="Q4" s="19" t="s">
        <v>126</v>
      </c>
      <c r="R4" s="134" t="s">
        <v>125</v>
      </c>
      <c r="S4" s="134" t="s">
        <v>115</v>
      </c>
      <c r="T4" s="134" t="s">
        <v>116</v>
      </c>
      <c r="U4" s="134" t="s">
        <v>117</v>
      </c>
      <c r="V4" s="134" t="s">
        <v>118</v>
      </c>
      <c r="W4" s="134" t="s">
        <v>119</v>
      </c>
      <c r="X4" s="134" t="s">
        <v>127</v>
      </c>
      <c r="Y4" s="134" t="s">
        <v>120</v>
      </c>
      <c r="Z4" s="134" t="s">
        <v>121</v>
      </c>
      <c r="AA4" s="134" t="s">
        <v>122</v>
      </c>
      <c r="AB4" s="134" t="s">
        <v>123</v>
      </c>
      <c r="AC4" s="135" t="s">
        <v>124</v>
      </c>
    </row>
    <row r="5" spans="1:30" ht="15" customHeight="1" x14ac:dyDescent="0.25">
      <c r="A5" s="33">
        <f t="shared" ref="A5:A13" si="1">1+A4</f>
        <v>2002</v>
      </c>
      <c r="B5" s="26">
        <v>814</v>
      </c>
      <c r="C5" s="26">
        <v>802</v>
      </c>
      <c r="D5" s="26">
        <v>898</v>
      </c>
      <c r="E5" s="26">
        <v>307</v>
      </c>
      <c r="F5" s="26">
        <v>572</v>
      </c>
      <c r="G5" s="26">
        <v>736</v>
      </c>
      <c r="H5" s="26">
        <v>1138</v>
      </c>
      <c r="I5" s="26">
        <v>1516</v>
      </c>
      <c r="J5" s="26">
        <v>1030</v>
      </c>
      <c r="K5" s="112">
        <v>51</v>
      </c>
      <c r="L5" s="26">
        <v>300</v>
      </c>
      <c r="M5" s="26">
        <v>113</v>
      </c>
      <c r="N5" s="114">
        <f t="shared" si="0"/>
        <v>8277</v>
      </c>
      <c r="O5" s="93"/>
      <c r="P5" s="93"/>
      <c r="Q5" s="47">
        <v>2001</v>
      </c>
      <c r="R5" s="24">
        <v>49</v>
      </c>
      <c r="S5" s="24">
        <v>907</v>
      </c>
      <c r="T5" s="24">
        <v>764</v>
      </c>
      <c r="U5" s="24">
        <v>532</v>
      </c>
      <c r="V5" s="24">
        <v>699</v>
      </c>
      <c r="W5" s="24">
        <v>829</v>
      </c>
      <c r="X5" s="24">
        <v>525</v>
      </c>
      <c r="Y5" s="24">
        <v>1259</v>
      </c>
      <c r="Z5" s="24">
        <v>1094</v>
      </c>
      <c r="AA5" s="24">
        <v>96</v>
      </c>
      <c r="AB5" s="24">
        <v>50</v>
      </c>
      <c r="AC5" s="37">
        <v>160</v>
      </c>
    </row>
    <row r="6" spans="1:30" ht="15" customHeight="1" x14ac:dyDescent="0.25">
      <c r="A6" s="33">
        <f t="shared" si="1"/>
        <v>2003</v>
      </c>
      <c r="B6" s="113">
        <v>92</v>
      </c>
      <c r="C6" s="112">
        <v>95</v>
      </c>
      <c r="D6" s="26">
        <v>600</v>
      </c>
      <c r="E6" s="26">
        <v>601</v>
      </c>
      <c r="F6" s="26">
        <v>647</v>
      </c>
      <c r="G6" s="26">
        <v>279</v>
      </c>
      <c r="H6" s="26">
        <v>1345</v>
      </c>
      <c r="I6" s="26">
        <v>1648</v>
      </c>
      <c r="J6" s="26">
        <v>1244</v>
      </c>
      <c r="K6" s="26">
        <v>258</v>
      </c>
      <c r="L6" s="113">
        <v>30</v>
      </c>
      <c r="M6" s="26">
        <v>42</v>
      </c>
      <c r="N6" s="114">
        <f t="shared" si="0"/>
        <v>6881</v>
      </c>
      <c r="O6" s="93"/>
      <c r="P6" s="93"/>
      <c r="Q6" s="47">
        <v>2002</v>
      </c>
      <c r="R6" s="24">
        <v>814</v>
      </c>
      <c r="S6" s="24">
        <v>802</v>
      </c>
      <c r="T6" s="24">
        <v>898</v>
      </c>
      <c r="U6" s="24">
        <v>307</v>
      </c>
      <c r="V6" s="24">
        <v>572</v>
      </c>
      <c r="W6" s="24">
        <v>736</v>
      </c>
      <c r="X6" s="24">
        <v>1138</v>
      </c>
      <c r="Y6" s="24">
        <v>1516</v>
      </c>
      <c r="Z6" s="24">
        <v>1030</v>
      </c>
      <c r="AA6" s="24">
        <v>51</v>
      </c>
      <c r="AB6" s="24">
        <v>300</v>
      </c>
      <c r="AC6" s="37">
        <v>113</v>
      </c>
    </row>
    <row r="7" spans="1:30" ht="15" customHeight="1" x14ac:dyDescent="0.25">
      <c r="A7" s="33">
        <f t="shared" si="1"/>
        <v>2004</v>
      </c>
      <c r="B7" s="26">
        <v>719</v>
      </c>
      <c r="C7" s="26">
        <v>757</v>
      </c>
      <c r="D7" s="26">
        <v>707</v>
      </c>
      <c r="E7" s="26">
        <v>486</v>
      </c>
      <c r="F7" s="26">
        <v>536</v>
      </c>
      <c r="G7" s="26">
        <v>983</v>
      </c>
      <c r="H7" s="26">
        <v>1050</v>
      </c>
      <c r="I7" s="26">
        <v>951</v>
      </c>
      <c r="J7" s="26">
        <v>442</v>
      </c>
      <c r="K7" s="26">
        <v>543</v>
      </c>
      <c r="L7" s="112">
        <v>10</v>
      </c>
      <c r="M7" s="113">
        <v>30</v>
      </c>
      <c r="N7" s="114">
        <f t="shared" si="0"/>
        <v>7214</v>
      </c>
      <c r="O7" s="93"/>
      <c r="P7" s="93"/>
      <c r="Q7" s="47">
        <v>2003</v>
      </c>
      <c r="R7" s="24">
        <v>92</v>
      </c>
      <c r="S7" s="24">
        <v>95</v>
      </c>
      <c r="T7" s="24">
        <v>600</v>
      </c>
      <c r="U7" s="24">
        <v>601</v>
      </c>
      <c r="V7" s="24">
        <v>647</v>
      </c>
      <c r="W7" s="24">
        <v>279</v>
      </c>
      <c r="X7" s="24">
        <v>1345</v>
      </c>
      <c r="Y7" s="24">
        <v>1648</v>
      </c>
      <c r="Z7" s="24">
        <v>1244</v>
      </c>
      <c r="AA7" s="24">
        <v>258</v>
      </c>
      <c r="AB7" s="24">
        <v>30</v>
      </c>
      <c r="AC7" s="37">
        <v>42</v>
      </c>
    </row>
    <row r="8" spans="1:30" ht="15" customHeight="1" x14ac:dyDescent="0.25">
      <c r="A8" s="33">
        <f t="shared" si="1"/>
        <v>2005</v>
      </c>
      <c r="B8" s="26">
        <v>135</v>
      </c>
      <c r="C8" s="26">
        <v>662</v>
      </c>
      <c r="D8" s="26">
        <v>304</v>
      </c>
      <c r="E8" s="26">
        <v>246</v>
      </c>
      <c r="F8" s="26">
        <v>155</v>
      </c>
      <c r="G8" s="26">
        <v>384</v>
      </c>
      <c r="H8" s="26">
        <v>900</v>
      </c>
      <c r="I8" s="26">
        <v>672</v>
      </c>
      <c r="J8" s="112">
        <v>310</v>
      </c>
      <c r="K8" s="26">
        <v>595</v>
      </c>
      <c r="L8" s="26">
        <v>200</v>
      </c>
      <c r="M8" s="26">
        <v>1351</v>
      </c>
      <c r="N8" s="114">
        <f t="shared" si="0"/>
        <v>5914</v>
      </c>
      <c r="O8" s="93"/>
      <c r="P8" s="93"/>
      <c r="Q8" s="47">
        <v>2004</v>
      </c>
      <c r="R8" s="24">
        <v>719</v>
      </c>
      <c r="S8" s="24">
        <v>757</v>
      </c>
      <c r="T8" s="24">
        <v>707</v>
      </c>
      <c r="U8" s="24">
        <v>486</v>
      </c>
      <c r="V8" s="24">
        <v>536</v>
      </c>
      <c r="W8" s="24">
        <v>983</v>
      </c>
      <c r="X8" s="24">
        <v>1050</v>
      </c>
      <c r="Y8" s="24">
        <v>951</v>
      </c>
      <c r="Z8" s="24">
        <v>442</v>
      </c>
      <c r="AA8" s="24">
        <v>543</v>
      </c>
      <c r="AB8" s="24">
        <v>10</v>
      </c>
      <c r="AC8" s="37">
        <v>30</v>
      </c>
    </row>
    <row r="9" spans="1:30" ht="15" customHeight="1" x14ac:dyDescent="0.25">
      <c r="A9" s="33">
        <f t="shared" si="1"/>
        <v>2006</v>
      </c>
      <c r="B9" s="26">
        <v>120</v>
      </c>
      <c r="C9" s="26">
        <v>650</v>
      </c>
      <c r="D9" s="26">
        <v>290</v>
      </c>
      <c r="E9" s="26">
        <v>236</v>
      </c>
      <c r="F9" s="26">
        <v>140</v>
      </c>
      <c r="G9" s="26">
        <v>375</v>
      </c>
      <c r="H9" s="26">
        <v>562</v>
      </c>
      <c r="I9" s="26">
        <v>550</v>
      </c>
      <c r="J9" s="113">
        <v>290</v>
      </c>
      <c r="K9" s="26">
        <v>585</v>
      </c>
      <c r="L9" s="26">
        <v>185</v>
      </c>
      <c r="M9" s="26">
        <v>1250</v>
      </c>
      <c r="N9" s="114">
        <f t="shared" si="0"/>
        <v>5233</v>
      </c>
      <c r="O9" s="93"/>
      <c r="P9" s="93"/>
      <c r="Q9" s="47">
        <v>2005</v>
      </c>
      <c r="R9" s="24">
        <v>135</v>
      </c>
      <c r="S9" s="24">
        <v>662</v>
      </c>
      <c r="T9" s="24">
        <v>304</v>
      </c>
      <c r="U9" s="24">
        <v>246</v>
      </c>
      <c r="V9" s="24">
        <v>155</v>
      </c>
      <c r="W9" s="24">
        <v>384</v>
      </c>
      <c r="X9" s="24">
        <v>900</v>
      </c>
      <c r="Y9" s="24">
        <v>672</v>
      </c>
      <c r="Z9" s="24">
        <v>310</v>
      </c>
      <c r="AA9" s="24">
        <v>595</v>
      </c>
      <c r="AB9" s="24">
        <v>200</v>
      </c>
      <c r="AC9" s="37">
        <v>1351</v>
      </c>
    </row>
    <row r="10" spans="1:30" ht="15" customHeight="1" x14ac:dyDescent="0.25">
      <c r="A10" s="33">
        <f t="shared" si="1"/>
        <v>2007</v>
      </c>
      <c r="B10" s="26">
        <v>248</v>
      </c>
      <c r="C10" s="26">
        <v>598</v>
      </c>
      <c r="D10" s="26">
        <v>154</v>
      </c>
      <c r="E10" s="113">
        <v>155</v>
      </c>
      <c r="F10" s="26">
        <v>281</v>
      </c>
      <c r="G10" s="26">
        <v>454</v>
      </c>
      <c r="H10" s="26">
        <v>800</v>
      </c>
      <c r="I10" s="26">
        <v>1339</v>
      </c>
      <c r="J10" s="26">
        <v>904</v>
      </c>
      <c r="K10" s="26">
        <v>141</v>
      </c>
      <c r="L10" s="26">
        <v>545</v>
      </c>
      <c r="M10" s="26">
        <v>843</v>
      </c>
      <c r="N10" s="114">
        <f t="shared" si="0"/>
        <v>6462</v>
      </c>
      <c r="O10" s="93"/>
      <c r="P10" s="93"/>
      <c r="Q10" s="47">
        <v>2006</v>
      </c>
      <c r="R10" s="26">
        <v>120</v>
      </c>
      <c r="S10" s="26">
        <v>650</v>
      </c>
      <c r="T10" s="26">
        <v>290</v>
      </c>
      <c r="U10" s="26">
        <v>236</v>
      </c>
      <c r="V10" s="26">
        <v>140</v>
      </c>
      <c r="W10" s="26">
        <v>375</v>
      </c>
      <c r="X10" s="26">
        <v>562</v>
      </c>
      <c r="Y10" s="26">
        <v>550</v>
      </c>
      <c r="Z10" s="113">
        <v>290</v>
      </c>
      <c r="AA10" s="26">
        <v>585</v>
      </c>
      <c r="AB10" s="26">
        <v>185</v>
      </c>
      <c r="AC10" s="26">
        <v>1250</v>
      </c>
    </row>
    <row r="11" spans="1:30" ht="15" customHeight="1" x14ac:dyDescent="0.25">
      <c r="A11" s="33">
        <f t="shared" si="1"/>
        <v>2008</v>
      </c>
      <c r="B11" s="26">
        <v>593</v>
      </c>
      <c r="C11" s="26">
        <v>358</v>
      </c>
      <c r="D11" s="26">
        <v>244</v>
      </c>
      <c r="E11" s="26">
        <v>633</v>
      </c>
      <c r="F11" s="112">
        <v>31</v>
      </c>
      <c r="G11" s="26">
        <v>875</v>
      </c>
      <c r="H11" s="112">
        <v>336</v>
      </c>
      <c r="I11" s="112">
        <v>549</v>
      </c>
      <c r="J11" s="26">
        <v>820</v>
      </c>
      <c r="K11" s="26">
        <v>709</v>
      </c>
      <c r="L11" s="26">
        <v>503</v>
      </c>
      <c r="M11" s="26">
        <v>623</v>
      </c>
      <c r="N11" s="114">
        <f t="shared" si="0"/>
        <v>6274</v>
      </c>
      <c r="O11" s="93"/>
      <c r="P11" s="93"/>
      <c r="Q11" s="47">
        <v>2007</v>
      </c>
      <c r="R11" s="24">
        <v>248</v>
      </c>
      <c r="S11" s="24">
        <v>598</v>
      </c>
      <c r="T11" s="24">
        <v>154</v>
      </c>
      <c r="U11" s="24">
        <v>155</v>
      </c>
      <c r="V11" s="24">
        <v>281</v>
      </c>
      <c r="W11" s="24">
        <v>454</v>
      </c>
      <c r="X11" s="24">
        <v>800</v>
      </c>
      <c r="Y11" s="24">
        <v>1339</v>
      </c>
      <c r="Z11" s="24">
        <v>904</v>
      </c>
      <c r="AA11" s="24">
        <v>141</v>
      </c>
      <c r="AB11" s="24">
        <v>545</v>
      </c>
      <c r="AC11" s="37">
        <v>843</v>
      </c>
    </row>
    <row r="12" spans="1:30" ht="15" customHeight="1" x14ac:dyDescent="0.25">
      <c r="A12" s="33">
        <f t="shared" si="1"/>
        <v>2009</v>
      </c>
      <c r="B12" s="26">
        <v>324</v>
      </c>
      <c r="C12" s="113">
        <v>165</v>
      </c>
      <c r="D12" s="112">
        <v>103</v>
      </c>
      <c r="E12" s="26">
        <v>709</v>
      </c>
      <c r="F12" s="113">
        <v>93</v>
      </c>
      <c r="G12" s="113">
        <v>244</v>
      </c>
      <c r="H12" s="26">
        <v>466</v>
      </c>
      <c r="I12" s="26">
        <v>839</v>
      </c>
      <c r="J12" s="26">
        <v>268</v>
      </c>
      <c r="K12" s="26">
        <v>336</v>
      </c>
      <c r="L12" s="26">
        <v>697</v>
      </c>
      <c r="M12" s="112">
        <v>19</v>
      </c>
      <c r="N12" s="114">
        <f t="shared" si="0"/>
        <v>4263</v>
      </c>
      <c r="O12" s="93"/>
      <c r="P12" s="93"/>
      <c r="Q12" s="47">
        <v>2008</v>
      </c>
      <c r="R12" s="24">
        <v>593</v>
      </c>
      <c r="S12" s="24">
        <v>358</v>
      </c>
      <c r="T12" s="24">
        <v>244</v>
      </c>
      <c r="U12" s="24">
        <v>633</v>
      </c>
      <c r="V12" s="24">
        <v>31</v>
      </c>
      <c r="W12" s="24">
        <v>875</v>
      </c>
      <c r="X12" s="24">
        <v>336</v>
      </c>
      <c r="Y12" s="24">
        <v>549</v>
      </c>
      <c r="Z12" s="24">
        <v>820</v>
      </c>
      <c r="AA12" s="24">
        <v>709</v>
      </c>
      <c r="AB12" s="24">
        <v>503</v>
      </c>
      <c r="AC12" s="37">
        <v>623</v>
      </c>
    </row>
    <row r="13" spans="1:30" ht="15" customHeight="1" x14ac:dyDescent="0.25">
      <c r="A13" s="34">
        <f t="shared" si="1"/>
        <v>2010</v>
      </c>
      <c r="B13" s="30">
        <v>537</v>
      </c>
      <c r="C13" s="30">
        <v>281</v>
      </c>
      <c r="D13" s="115">
        <v>128</v>
      </c>
      <c r="E13" s="116">
        <v>126</v>
      </c>
      <c r="F13" s="30">
        <v>625</v>
      </c>
      <c r="G13" s="116">
        <v>209</v>
      </c>
      <c r="H13" s="115">
        <v>356</v>
      </c>
      <c r="I13" s="115">
        <v>610</v>
      </c>
      <c r="J13" s="30">
        <v>530</v>
      </c>
      <c r="K13" s="30">
        <v>793</v>
      </c>
      <c r="L13" s="30">
        <v>635</v>
      </c>
      <c r="M13" s="30">
        <v>476</v>
      </c>
      <c r="N13" s="117">
        <f t="shared" si="0"/>
        <v>5306</v>
      </c>
      <c r="O13" s="93"/>
      <c r="P13" s="93"/>
      <c r="Q13" s="47">
        <v>2009</v>
      </c>
      <c r="R13" s="24">
        <v>324</v>
      </c>
      <c r="S13" s="24">
        <v>165</v>
      </c>
      <c r="T13" s="24">
        <v>103</v>
      </c>
      <c r="U13" s="24">
        <v>709</v>
      </c>
      <c r="V13" s="24">
        <v>93</v>
      </c>
      <c r="W13" s="24">
        <v>244</v>
      </c>
      <c r="X13" s="24">
        <v>466</v>
      </c>
      <c r="Y13" s="24">
        <v>839</v>
      </c>
      <c r="Z13" s="24">
        <v>268</v>
      </c>
      <c r="AA13" s="24">
        <v>336</v>
      </c>
      <c r="AB13" s="24">
        <v>697</v>
      </c>
      <c r="AC13" s="37">
        <v>19</v>
      </c>
    </row>
    <row r="14" spans="1:30" ht="15" customHeigh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94"/>
      <c r="O14" s="94"/>
      <c r="P14" s="94"/>
      <c r="Q14" s="48">
        <v>2010</v>
      </c>
      <c r="R14" s="28">
        <v>537</v>
      </c>
      <c r="S14" s="28">
        <v>281</v>
      </c>
      <c r="T14" s="28">
        <v>128</v>
      </c>
      <c r="U14" s="28">
        <v>126</v>
      </c>
      <c r="V14" s="28">
        <v>625</v>
      </c>
      <c r="W14" s="28">
        <v>209</v>
      </c>
      <c r="X14" s="28">
        <v>356</v>
      </c>
      <c r="Y14" s="28">
        <v>610</v>
      </c>
      <c r="Z14" s="28">
        <v>530</v>
      </c>
      <c r="AA14" s="28">
        <v>793</v>
      </c>
      <c r="AB14" s="28">
        <v>635</v>
      </c>
      <c r="AC14" s="39">
        <v>476</v>
      </c>
    </row>
    <row r="15" spans="1:30" ht="15" customHeight="1" x14ac:dyDescent="0.25">
      <c r="A15" s="75" t="s">
        <v>186</v>
      </c>
      <c r="K15" s="97" t="s">
        <v>170</v>
      </c>
      <c r="L15" s="101" t="s">
        <v>152</v>
      </c>
      <c r="M15" s="5">
        <v>1000</v>
      </c>
      <c r="N15" s="13" t="s">
        <v>153</v>
      </c>
    </row>
    <row r="16" spans="1:30" ht="15" customHeight="1" x14ac:dyDescent="0.25">
      <c r="D16" s="11" t="s">
        <v>132</v>
      </c>
      <c r="E16" s="60" t="s">
        <v>134</v>
      </c>
      <c r="F16" s="1">
        <v>90</v>
      </c>
      <c r="G16" s="13" t="s">
        <v>131</v>
      </c>
      <c r="K16" s="97" t="s">
        <v>171</v>
      </c>
      <c r="L16" s="101" t="s">
        <v>13</v>
      </c>
      <c r="M16" s="10">
        <v>9.81</v>
      </c>
      <c r="N16" s="13" t="s">
        <v>154</v>
      </c>
    </row>
    <row r="17" spans="1:30" ht="15" customHeight="1" x14ac:dyDescent="0.25">
      <c r="D17" s="11" t="s">
        <v>169</v>
      </c>
      <c r="E17" s="60" t="s">
        <v>129</v>
      </c>
      <c r="F17" s="5">
        <v>1000</v>
      </c>
      <c r="G17" s="13" t="s">
        <v>130</v>
      </c>
    </row>
    <row r="18" spans="1:30" s="96" customFormat="1" ht="15" customHeight="1" x14ac:dyDescent="0.25">
      <c r="D18" s="97" t="s">
        <v>185</v>
      </c>
      <c r="E18" s="98" t="s">
        <v>135</v>
      </c>
      <c r="F18" s="99">
        <v>88</v>
      </c>
      <c r="G18" s="100" t="s">
        <v>131</v>
      </c>
    </row>
    <row r="19" spans="1:30" ht="15" customHeight="1" x14ac:dyDescent="0.25">
      <c r="D19" s="97" t="s">
        <v>172</v>
      </c>
      <c r="E19" s="101" t="s">
        <v>133</v>
      </c>
      <c r="F19" s="10">
        <f>M23/M24</f>
        <v>0.75075075075075071</v>
      </c>
      <c r="G19" s="96"/>
      <c r="Q19" s="50" t="s">
        <v>126</v>
      </c>
      <c r="R19" s="50" t="s">
        <v>125</v>
      </c>
      <c r="S19" s="50" t="s">
        <v>115</v>
      </c>
      <c r="T19" s="50" t="s">
        <v>116</v>
      </c>
      <c r="U19" s="50" t="s">
        <v>117</v>
      </c>
      <c r="V19" s="50" t="s">
        <v>118</v>
      </c>
      <c r="W19" s="50" t="s">
        <v>119</v>
      </c>
      <c r="X19" s="50" t="s">
        <v>127</v>
      </c>
      <c r="Y19" s="50" t="s">
        <v>120</v>
      </c>
      <c r="Z19" s="50" t="s">
        <v>121</v>
      </c>
      <c r="AA19" s="50" t="s">
        <v>122</v>
      </c>
      <c r="AB19" s="50" t="s">
        <v>123</v>
      </c>
      <c r="AC19" s="50" t="s">
        <v>124</v>
      </c>
      <c r="AD19" s="92" t="s">
        <v>128</v>
      </c>
    </row>
    <row r="20" spans="1:30" ht="15" customHeight="1" x14ac:dyDescent="0.25">
      <c r="D20" s="97" t="s">
        <v>173</v>
      </c>
      <c r="E20" s="101" t="s">
        <v>163</v>
      </c>
      <c r="F20" s="10">
        <v>0.66600000000000004</v>
      </c>
      <c r="Q20" s="50">
        <v>1</v>
      </c>
      <c r="R20" s="5">
        <v>814</v>
      </c>
      <c r="S20" s="5">
        <v>907</v>
      </c>
      <c r="T20" s="5">
        <v>898</v>
      </c>
      <c r="U20" s="5">
        <v>709</v>
      </c>
      <c r="V20" s="5">
        <v>699</v>
      </c>
      <c r="W20" s="5">
        <v>983</v>
      </c>
      <c r="X20" s="5">
        <v>1345</v>
      </c>
      <c r="Y20" s="5">
        <v>1648</v>
      </c>
      <c r="Z20" s="5">
        <v>1244</v>
      </c>
      <c r="AA20" s="5">
        <v>793</v>
      </c>
      <c r="AB20" s="5">
        <v>697</v>
      </c>
      <c r="AC20" s="5">
        <v>1351</v>
      </c>
      <c r="AD20" s="93">
        <f t="shared" ref="AD20:AD29" si="2">SUM(R20:AC20)</f>
        <v>12088</v>
      </c>
    </row>
    <row r="21" spans="1:30" ht="15" customHeight="1" x14ac:dyDescent="0.25">
      <c r="A21" s="75" t="s">
        <v>187</v>
      </c>
      <c r="K21" s="75" t="s">
        <v>188</v>
      </c>
      <c r="Q21" s="50">
        <v>2</v>
      </c>
      <c r="R21" s="5">
        <v>719</v>
      </c>
      <c r="S21" s="5">
        <v>802</v>
      </c>
      <c r="T21" s="5">
        <v>764</v>
      </c>
      <c r="U21" s="5">
        <v>633</v>
      </c>
      <c r="V21" s="5">
        <v>647</v>
      </c>
      <c r="W21" s="5">
        <v>875</v>
      </c>
      <c r="X21" s="5">
        <v>1138</v>
      </c>
      <c r="Y21" s="5">
        <v>1516</v>
      </c>
      <c r="Z21" s="5">
        <v>1094</v>
      </c>
      <c r="AA21" s="5">
        <v>709</v>
      </c>
      <c r="AB21" s="5">
        <v>635</v>
      </c>
      <c r="AC21" s="5">
        <v>1351</v>
      </c>
      <c r="AD21" s="93">
        <f t="shared" si="2"/>
        <v>10883</v>
      </c>
    </row>
    <row r="22" spans="1:30" ht="15" customHeight="1" x14ac:dyDescent="0.25">
      <c r="A22" s="11" t="s">
        <v>181</v>
      </c>
      <c r="B22" t="s">
        <v>180</v>
      </c>
      <c r="L22" s="60" t="s">
        <v>164</v>
      </c>
      <c r="M22" s="5">
        <f>K42</f>
        <v>14460.630624000003</v>
      </c>
      <c r="N22" s="111" t="s">
        <v>155</v>
      </c>
      <c r="Q22" s="50">
        <v>3</v>
      </c>
      <c r="R22" s="5">
        <v>593</v>
      </c>
      <c r="S22" s="5">
        <v>757</v>
      </c>
      <c r="T22" s="5">
        <v>707</v>
      </c>
      <c r="U22" s="5">
        <v>601</v>
      </c>
      <c r="V22" s="5">
        <v>625</v>
      </c>
      <c r="W22" s="5">
        <v>829</v>
      </c>
      <c r="X22" s="5">
        <v>1050</v>
      </c>
      <c r="Y22" s="5">
        <v>1339</v>
      </c>
      <c r="Z22" s="5">
        <v>1030</v>
      </c>
      <c r="AA22" s="5">
        <v>595</v>
      </c>
      <c r="AB22" s="5">
        <v>545</v>
      </c>
      <c r="AC22" s="5">
        <v>843</v>
      </c>
      <c r="AD22" s="93">
        <f t="shared" si="2"/>
        <v>9514</v>
      </c>
    </row>
    <row r="23" spans="1:30" ht="15" customHeight="1" x14ac:dyDescent="0.25">
      <c r="A23" s="11" t="s">
        <v>182</v>
      </c>
      <c r="B23" t="s">
        <v>174</v>
      </c>
      <c r="L23" s="60" t="s">
        <v>165</v>
      </c>
      <c r="M23" s="10">
        <f>(M22/8760)/F20</f>
        <v>2.4786139948167349</v>
      </c>
      <c r="N23" s="111" t="s">
        <v>166</v>
      </c>
      <c r="Q23" s="50">
        <v>4</v>
      </c>
      <c r="R23" s="5">
        <v>537</v>
      </c>
      <c r="S23" s="5">
        <v>662</v>
      </c>
      <c r="T23" s="5">
        <v>600</v>
      </c>
      <c r="U23" s="5">
        <v>532</v>
      </c>
      <c r="V23" s="5">
        <v>572</v>
      </c>
      <c r="W23" s="5">
        <v>736</v>
      </c>
      <c r="X23" s="5">
        <v>900</v>
      </c>
      <c r="Y23" s="5">
        <v>1259</v>
      </c>
      <c r="Z23" s="5">
        <v>904</v>
      </c>
      <c r="AA23" s="5">
        <v>595</v>
      </c>
      <c r="AB23" s="5">
        <v>503</v>
      </c>
      <c r="AC23" s="5">
        <v>623</v>
      </c>
      <c r="AD23" s="93">
        <f t="shared" si="2"/>
        <v>8423</v>
      </c>
    </row>
    <row r="24" spans="1:30" ht="15" customHeight="1" x14ac:dyDescent="0.25">
      <c r="A24" s="11" t="s">
        <v>183</v>
      </c>
      <c r="B24" t="s">
        <v>168</v>
      </c>
      <c r="C24" s="10"/>
      <c r="D24" s="13"/>
      <c r="L24" s="60" t="s">
        <v>167</v>
      </c>
      <c r="M24" s="10">
        <f>(K42/8760)*2</f>
        <v>3.3015138410958911</v>
      </c>
      <c r="N24" s="111" t="s">
        <v>166</v>
      </c>
      <c r="Q24" s="50">
        <v>5</v>
      </c>
      <c r="R24" s="5">
        <v>324</v>
      </c>
      <c r="S24" s="5">
        <v>662</v>
      </c>
      <c r="T24" s="5">
        <v>304</v>
      </c>
      <c r="U24" s="5">
        <v>486</v>
      </c>
      <c r="V24" s="5">
        <v>536</v>
      </c>
      <c r="W24" s="5">
        <v>454</v>
      </c>
      <c r="X24" s="5">
        <v>800</v>
      </c>
      <c r="Y24" s="5">
        <v>951</v>
      </c>
      <c r="Z24" s="5">
        <v>820</v>
      </c>
      <c r="AA24" s="5">
        <v>543</v>
      </c>
      <c r="AB24" s="5">
        <v>300</v>
      </c>
      <c r="AC24" s="5">
        <v>476</v>
      </c>
      <c r="AD24" s="93">
        <f t="shared" si="2"/>
        <v>6656</v>
      </c>
    </row>
    <row r="25" spans="1:30" ht="15" customHeight="1" x14ac:dyDescent="0.25">
      <c r="A25" s="11" t="s">
        <v>184</v>
      </c>
      <c r="B25" t="s">
        <v>177</v>
      </c>
      <c r="C25" s="10"/>
      <c r="D25" s="13"/>
      <c r="L25" s="60" t="s">
        <v>176</v>
      </c>
      <c r="M25" s="5">
        <f>J41</f>
        <v>1928211</v>
      </c>
      <c r="N25" s="111" t="s">
        <v>156</v>
      </c>
      <c r="Q25" s="50">
        <v>6</v>
      </c>
      <c r="R25" s="5">
        <v>248</v>
      </c>
      <c r="S25" s="5">
        <v>598</v>
      </c>
      <c r="T25" s="5">
        <v>304</v>
      </c>
      <c r="U25" s="5">
        <v>307</v>
      </c>
      <c r="V25" s="5">
        <v>281</v>
      </c>
      <c r="W25" s="5">
        <v>384</v>
      </c>
      <c r="X25" s="5">
        <v>562</v>
      </c>
      <c r="Y25" s="5">
        <v>839</v>
      </c>
      <c r="Z25" s="5">
        <v>530</v>
      </c>
      <c r="AA25" s="5">
        <v>336</v>
      </c>
      <c r="AB25" s="5">
        <v>200</v>
      </c>
      <c r="AC25" s="5">
        <v>160</v>
      </c>
      <c r="AD25" s="93">
        <f t="shared" si="2"/>
        <v>4749</v>
      </c>
    </row>
    <row r="26" spans="1:30" ht="15" customHeight="1" x14ac:dyDescent="0.25">
      <c r="Q26" s="50">
        <v>7</v>
      </c>
      <c r="R26" s="5">
        <v>135</v>
      </c>
      <c r="S26" s="5">
        <v>358</v>
      </c>
      <c r="T26" s="5">
        <v>244</v>
      </c>
      <c r="U26" s="5">
        <v>246</v>
      </c>
      <c r="V26" s="5">
        <v>155</v>
      </c>
      <c r="W26" s="5">
        <v>384</v>
      </c>
      <c r="X26" s="5">
        <v>525</v>
      </c>
      <c r="Y26" s="5">
        <v>672</v>
      </c>
      <c r="Z26" s="5">
        <v>442</v>
      </c>
      <c r="AA26" s="5">
        <v>258</v>
      </c>
      <c r="AB26" s="5">
        <v>200</v>
      </c>
      <c r="AC26" s="5">
        <v>113</v>
      </c>
      <c r="AD26" s="93">
        <f t="shared" si="2"/>
        <v>3732</v>
      </c>
    </row>
    <row r="27" spans="1:30" ht="15" customHeight="1" x14ac:dyDescent="0.25">
      <c r="D27" s="307" t="s">
        <v>162</v>
      </c>
      <c r="E27" s="124" t="s">
        <v>148</v>
      </c>
      <c r="F27" s="102" t="s">
        <v>149</v>
      </c>
      <c r="G27" s="120" t="s">
        <v>178</v>
      </c>
      <c r="H27" s="121" t="s">
        <v>179</v>
      </c>
      <c r="I27" s="121" t="s">
        <v>159</v>
      </c>
      <c r="J27" s="103" t="s">
        <v>160</v>
      </c>
      <c r="K27" s="131" t="s">
        <v>151</v>
      </c>
      <c r="L27" s="83"/>
      <c r="Q27" s="50">
        <v>8</v>
      </c>
      <c r="R27" s="5">
        <v>135</v>
      </c>
      <c r="S27" s="5">
        <v>281</v>
      </c>
      <c r="T27" s="5">
        <v>154</v>
      </c>
      <c r="U27" s="5">
        <v>246</v>
      </c>
      <c r="V27" s="5">
        <v>155</v>
      </c>
      <c r="W27" s="5">
        <v>279</v>
      </c>
      <c r="X27" s="5">
        <v>466</v>
      </c>
      <c r="Y27" s="5">
        <v>672</v>
      </c>
      <c r="Z27" s="5">
        <v>310</v>
      </c>
      <c r="AA27" s="5">
        <v>141</v>
      </c>
      <c r="AB27" s="5">
        <v>50</v>
      </c>
      <c r="AC27" s="5">
        <v>42</v>
      </c>
      <c r="AD27" s="93">
        <f t="shared" si="2"/>
        <v>2931</v>
      </c>
    </row>
    <row r="28" spans="1:30" ht="15" customHeight="1" x14ac:dyDescent="0.25">
      <c r="D28" s="308"/>
      <c r="E28" s="122" t="s">
        <v>150</v>
      </c>
      <c r="F28" s="125" t="s">
        <v>157</v>
      </c>
      <c r="G28" s="129" t="s">
        <v>158</v>
      </c>
      <c r="H28" s="126" t="s">
        <v>161</v>
      </c>
      <c r="I28" s="126" t="s">
        <v>161</v>
      </c>
      <c r="J28" s="130" t="s">
        <v>161</v>
      </c>
      <c r="K28" s="133" t="s">
        <v>155</v>
      </c>
      <c r="L28" s="83"/>
      <c r="Q28" s="50">
        <v>9</v>
      </c>
      <c r="R28" s="5">
        <v>92</v>
      </c>
      <c r="S28" s="5">
        <v>165</v>
      </c>
      <c r="T28" s="5">
        <v>128</v>
      </c>
      <c r="U28" s="5">
        <v>155</v>
      </c>
      <c r="V28" s="5">
        <v>93</v>
      </c>
      <c r="W28" s="5">
        <v>244</v>
      </c>
      <c r="X28" s="5">
        <v>356</v>
      </c>
      <c r="Y28" s="5">
        <v>610</v>
      </c>
      <c r="Z28" s="5">
        <v>310</v>
      </c>
      <c r="AA28" s="5">
        <v>96</v>
      </c>
      <c r="AB28" s="5">
        <v>30</v>
      </c>
      <c r="AC28" s="5">
        <v>30</v>
      </c>
      <c r="AD28" s="95">
        <f t="shared" si="2"/>
        <v>2309</v>
      </c>
    </row>
    <row r="29" spans="1:30" ht="15" customHeight="1" x14ac:dyDescent="0.25">
      <c r="D29" s="36" t="s">
        <v>136</v>
      </c>
      <c r="E29" s="104">
        <f>B6</f>
        <v>92</v>
      </c>
      <c r="F29" s="24">
        <v>30</v>
      </c>
      <c r="G29" s="128">
        <f>(E29/1000)*(60*60*24*F29)</f>
        <v>238464</v>
      </c>
      <c r="H29" s="22">
        <f t="shared" ref="H29:H40" si="3">$G$43*F29</f>
        <v>495640.10958904104</v>
      </c>
      <c r="I29" s="22">
        <f>G29-H29</f>
        <v>-257176.10958904104</v>
      </c>
      <c r="J29" s="23">
        <f>ROUND((-$I$43+I29),0)</f>
        <v>594169</v>
      </c>
      <c r="K29" s="23">
        <f>(($F$18/100)*$M$15*$M$16*$F$17*G29)/(1000000*3600)</f>
        <v>571.83667200000014</v>
      </c>
      <c r="L29" s="136"/>
      <c r="Q29" s="50">
        <v>10</v>
      </c>
      <c r="R29" s="5">
        <v>49</v>
      </c>
      <c r="S29" s="5">
        <v>95</v>
      </c>
      <c r="T29" s="5">
        <v>103</v>
      </c>
      <c r="U29" s="5">
        <v>126</v>
      </c>
      <c r="V29" s="5">
        <v>31</v>
      </c>
      <c r="W29" s="5">
        <v>209</v>
      </c>
      <c r="X29" s="5">
        <v>336</v>
      </c>
      <c r="Y29" s="5">
        <v>549</v>
      </c>
      <c r="Z29" s="5">
        <v>268</v>
      </c>
      <c r="AA29" s="5">
        <v>51</v>
      </c>
      <c r="AB29" s="5">
        <v>10</v>
      </c>
      <c r="AC29" s="5">
        <v>19</v>
      </c>
      <c r="AD29" s="93">
        <f t="shared" si="2"/>
        <v>1846</v>
      </c>
    </row>
    <row r="30" spans="1:30" ht="15" customHeight="1" x14ac:dyDescent="0.25">
      <c r="D30" s="36" t="s">
        <v>137</v>
      </c>
      <c r="E30" s="104">
        <f>C12</f>
        <v>165</v>
      </c>
      <c r="F30" s="24">
        <v>31</v>
      </c>
      <c r="G30" s="104">
        <f t="shared" ref="G30:G40" si="4">(E30/1000)*(60*60*24*F30)</f>
        <v>441936</v>
      </c>
      <c r="H30" s="26">
        <f t="shared" si="3"/>
        <v>512161.44657534244</v>
      </c>
      <c r="I30" s="26">
        <f t="shared" ref="I30:I40" si="5">(G30-H30)+I29</f>
        <v>-327401.55616438348</v>
      </c>
      <c r="J30" s="27">
        <f t="shared" ref="J30:J40" si="6">ROUND((-$I$43+I30),0)</f>
        <v>523944</v>
      </c>
      <c r="K30" s="27">
        <f t="shared" ref="K30:K40" si="7">(($F$18/100)*$M$15*$M$16*$F$17*G30)/(1000000*3600)</f>
        <v>1059.7625280000002</v>
      </c>
      <c r="L30" s="136"/>
      <c r="Q30" s="50"/>
      <c r="R30" s="51">
        <f>SUM(R20:R29)</f>
        <v>3646</v>
      </c>
      <c r="S30" s="51">
        <f t="shared" ref="S30" si="8">SUM(S20:S29)</f>
        <v>5287</v>
      </c>
      <c r="T30" s="51">
        <f t="shared" ref="T30" si="9">SUM(T20:T29)</f>
        <v>4206</v>
      </c>
      <c r="U30" s="51">
        <f t="shared" ref="U30" si="10">SUM(U20:U29)</f>
        <v>4041</v>
      </c>
      <c r="V30" s="51">
        <f t="shared" ref="V30" si="11">SUM(V20:V29)</f>
        <v>3794</v>
      </c>
      <c r="W30" s="51">
        <f t="shared" ref="W30" si="12">SUM(W20:W29)</f>
        <v>5377</v>
      </c>
      <c r="X30" s="51">
        <f t="shared" ref="X30" si="13">SUM(X20:X29)</f>
        <v>7478</v>
      </c>
      <c r="Y30" s="51">
        <f t="shared" ref="Y30" si="14">SUM(Y20:Y29)</f>
        <v>10055</v>
      </c>
      <c r="Z30" s="51">
        <f t="shared" ref="Z30" si="15">SUM(Z20:Z29)</f>
        <v>6952</v>
      </c>
      <c r="AA30" s="51">
        <f t="shared" ref="AA30:AB30" si="16">SUM(AA20:AA29)</f>
        <v>4117</v>
      </c>
      <c r="AB30" s="51">
        <f t="shared" si="16"/>
        <v>3170</v>
      </c>
      <c r="AC30" s="51">
        <f>SUM(AC20:AC29)</f>
        <v>5008</v>
      </c>
      <c r="AD30" s="94">
        <f>SUM(AD20:AD29)</f>
        <v>63131</v>
      </c>
    </row>
    <row r="31" spans="1:30" ht="15" customHeight="1" x14ac:dyDescent="0.25">
      <c r="D31" s="36" t="s">
        <v>138</v>
      </c>
      <c r="E31" s="104">
        <f>D13</f>
        <v>128</v>
      </c>
      <c r="F31" s="24">
        <v>30</v>
      </c>
      <c r="G31" s="104">
        <f t="shared" si="4"/>
        <v>331776</v>
      </c>
      <c r="H31" s="26">
        <f t="shared" si="3"/>
        <v>495640.10958904104</v>
      </c>
      <c r="I31" s="26">
        <f t="shared" si="5"/>
        <v>-491265.66575342452</v>
      </c>
      <c r="J31" s="27">
        <f t="shared" si="6"/>
        <v>360080</v>
      </c>
      <c r="K31" s="27">
        <f t="shared" si="7"/>
        <v>795.59884800000009</v>
      </c>
      <c r="L31" s="136"/>
    </row>
    <row r="32" spans="1:30" ht="15" customHeight="1" x14ac:dyDescent="0.25">
      <c r="D32" s="36" t="s">
        <v>139</v>
      </c>
      <c r="E32" s="104">
        <f>E10</f>
        <v>155</v>
      </c>
      <c r="F32" s="24">
        <v>31</v>
      </c>
      <c r="G32" s="104">
        <f t="shared" si="4"/>
        <v>415152</v>
      </c>
      <c r="H32" s="26">
        <f t="shared" si="3"/>
        <v>512161.44657534244</v>
      </c>
      <c r="I32" s="26">
        <f t="shared" si="5"/>
        <v>-588275.11232876696</v>
      </c>
      <c r="J32" s="27">
        <f t="shared" si="6"/>
        <v>263070</v>
      </c>
      <c r="K32" s="27">
        <f t="shared" si="7"/>
        <v>995.53449600000022</v>
      </c>
      <c r="L32" s="136"/>
      <c r="Q32" s="50"/>
      <c r="R32" s="50" t="s">
        <v>126</v>
      </c>
      <c r="S32" s="50">
        <v>1</v>
      </c>
      <c r="T32" s="50">
        <v>2</v>
      </c>
      <c r="U32" s="50">
        <v>3</v>
      </c>
      <c r="V32" s="50">
        <v>4</v>
      </c>
      <c r="W32" s="50">
        <v>5</v>
      </c>
      <c r="X32" s="50">
        <v>6</v>
      </c>
      <c r="Y32" s="50">
        <v>7</v>
      </c>
      <c r="Z32" s="50">
        <v>8</v>
      </c>
      <c r="AA32" s="50">
        <v>9</v>
      </c>
      <c r="AB32" s="50">
        <v>10</v>
      </c>
      <c r="AC32" s="51"/>
    </row>
    <row r="33" spans="4:31" ht="15" customHeight="1" x14ac:dyDescent="0.25">
      <c r="D33" s="36" t="s">
        <v>140</v>
      </c>
      <c r="E33" s="104">
        <f>F12</f>
        <v>93</v>
      </c>
      <c r="F33" s="24">
        <v>31</v>
      </c>
      <c r="G33" s="104">
        <f t="shared" si="4"/>
        <v>249091.20000000001</v>
      </c>
      <c r="H33" s="26">
        <f t="shared" si="3"/>
        <v>512161.44657534244</v>
      </c>
      <c r="I33" s="26">
        <f t="shared" si="5"/>
        <v>-851345.35890410934</v>
      </c>
      <c r="J33" s="27">
        <f t="shared" si="6"/>
        <v>0</v>
      </c>
      <c r="K33" s="27">
        <f t="shared" si="7"/>
        <v>597.32069760000013</v>
      </c>
      <c r="L33" s="136"/>
      <c r="Q33" s="50"/>
      <c r="R33" s="50" t="s">
        <v>125</v>
      </c>
      <c r="S33" s="5">
        <v>814</v>
      </c>
      <c r="T33" s="5">
        <v>719</v>
      </c>
      <c r="U33" s="5">
        <v>593</v>
      </c>
      <c r="V33" s="5">
        <v>537</v>
      </c>
      <c r="W33" s="5">
        <v>324</v>
      </c>
      <c r="X33" s="5">
        <v>248</v>
      </c>
      <c r="Y33" s="5">
        <v>135</v>
      </c>
      <c r="Z33" s="5">
        <v>135</v>
      </c>
      <c r="AA33" s="5">
        <v>92</v>
      </c>
      <c r="AB33" s="5">
        <v>49</v>
      </c>
      <c r="AC33" s="5">
        <f>SUM(S33:AB33)</f>
        <v>3646</v>
      </c>
      <c r="AD33" s="1"/>
    </row>
    <row r="34" spans="4:31" ht="15" customHeight="1" x14ac:dyDescent="0.25">
      <c r="D34" s="36" t="s">
        <v>141</v>
      </c>
      <c r="E34" s="104">
        <f>G12</f>
        <v>244</v>
      </c>
      <c r="F34" s="24">
        <v>30</v>
      </c>
      <c r="G34" s="104">
        <f t="shared" si="4"/>
        <v>632448</v>
      </c>
      <c r="H34" s="26">
        <f t="shared" si="3"/>
        <v>495640.10958904104</v>
      </c>
      <c r="I34" s="26">
        <f t="shared" si="5"/>
        <v>-714537.46849315031</v>
      </c>
      <c r="J34" s="27">
        <f t="shared" si="6"/>
        <v>136808</v>
      </c>
      <c r="K34" s="27">
        <f t="shared" si="7"/>
        <v>1516.6103040000003</v>
      </c>
      <c r="L34" s="136"/>
      <c r="Q34" s="50"/>
      <c r="R34" s="50" t="s">
        <v>115</v>
      </c>
      <c r="S34" s="5">
        <v>907</v>
      </c>
      <c r="T34" s="5">
        <v>802</v>
      </c>
      <c r="U34" s="5">
        <v>757</v>
      </c>
      <c r="V34" s="5">
        <v>662</v>
      </c>
      <c r="W34" s="5">
        <v>662</v>
      </c>
      <c r="X34" s="5">
        <v>598</v>
      </c>
      <c r="Y34" s="5">
        <v>358</v>
      </c>
      <c r="Z34" s="5">
        <v>281</v>
      </c>
      <c r="AA34" s="5">
        <v>165</v>
      </c>
      <c r="AB34" s="5">
        <v>95</v>
      </c>
      <c r="AC34" s="5">
        <f t="shared" ref="AC34:AC36" si="17">SUM(S34:AB34)</f>
        <v>5287</v>
      </c>
      <c r="AD34" s="1"/>
    </row>
    <row r="35" spans="4:31" ht="15" customHeight="1" x14ac:dyDescent="0.25">
      <c r="D35" s="36" t="s">
        <v>142</v>
      </c>
      <c r="E35" s="104">
        <f>H13</f>
        <v>356</v>
      </c>
      <c r="F35" s="24">
        <v>31</v>
      </c>
      <c r="G35" s="104">
        <f t="shared" si="4"/>
        <v>953510.39999999991</v>
      </c>
      <c r="H35" s="26">
        <f t="shared" si="3"/>
        <v>512161.44657534244</v>
      </c>
      <c r="I35" s="26">
        <f t="shared" si="5"/>
        <v>-273188.51506849285</v>
      </c>
      <c r="J35" s="27">
        <f t="shared" si="6"/>
        <v>578157</v>
      </c>
      <c r="K35" s="27">
        <f t="shared" si="7"/>
        <v>2286.5179392000005</v>
      </c>
      <c r="L35" s="136"/>
      <c r="Q35" s="96"/>
      <c r="R35" s="92" t="s">
        <v>116</v>
      </c>
      <c r="S35" s="93">
        <v>898</v>
      </c>
      <c r="T35" s="93">
        <v>764</v>
      </c>
      <c r="U35" s="93">
        <v>707</v>
      </c>
      <c r="V35" s="93">
        <v>600</v>
      </c>
      <c r="W35" s="93">
        <v>304</v>
      </c>
      <c r="X35" s="93">
        <v>304</v>
      </c>
      <c r="Y35" s="93">
        <v>244</v>
      </c>
      <c r="Z35" s="93">
        <v>154</v>
      </c>
      <c r="AA35" s="93">
        <v>128</v>
      </c>
      <c r="AB35" s="93">
        <v>103</v>
      </c>
      <c r="AC35" s="93">
        <f t="shared" si="17"/>
        <v>4206</v>
      </c>
      <c r="AD35" s="99"/>
      <c r="AE35" s="96"/>
    </row>
    <row r="36" spans="4:31" ht="15" customHeight="1" x14ac:dyDescent="0.25">
      <c r="D36" s="36" t="s">
        <v>143</v>
      </c>
      <c r="E36" s="104">
        <f>I13</f>
        <v>610</v>
      </c>
      <c r="F36" s="24">
        <v>30</v>
      </c>
      <c r="G36" s="104">
        <f t="shared" si="4"/>
        <v>1581120</v>
      </c>
      <c r="H36" s="26">
        <f t="shared" si="3"/>
        <v>495640.10958904104</v>
      </c>
      <c r="I36" s="26">
        <f t="shared" si="5"/>
        <v>812291.37534246617</v>
      </c>
      <c r="J36" s="27">
        <f t="shared" si="6"/>
        <v>1663637</v>
      </c>
      <c r="K36" s="27">
        <f t="shared" si="7"/>
        <v>3791.5257600000009</v>
      </c>
      <c r="L36" s="136"/>
      <c r="Q36" s="50"/>
      <c r="R36" s="50" t="s">
        <v>117</v>
      </c>
      <c r="S36" s="5">
        <v>709</v>
      </c>
      <c r="T36" s="5">
        <v>633</v>
      </c>
      <c r="U36" s="5">
        <v>601</v>
      </c>
      <c r="V36" s="5">
        <v>532</v>
      </c>
      <c r="W36" s="5">
        <v>486</v>
      </c>
      <c r="X36" s="5">
        <v>307</v>
      </c>
      <c r="Y36" s="5">
        <v>246</v>
      </c>
      <c r="Z36" s="5">
        <v>246</v>
      </c>
      <c r="AA36" s="5">
        <v>155</v>
      </c>
      <c r="AB36" s="5">
        <v>126</v>
      </c>
      <c r="AC36" s="5">
        <f t="shared" si="17"/>
        <v>4041</v>
      </c>
      <c r="AD36" s="1"/>
    </row>
    <row r="37" spans="4:31" ht="15" customHeight="1" x14ac:dyDescent="0.25">
      <c r="D37" s="36" t="s">
        <v>144</v>
      </c>
      <c r="E37" s="104">
        <f>J9</f>
        <v>290</v>
      </c>
      <c r="F37" s="24">
        <v>31</v>
      </c>
      <c r="G37" s="104">
        <f t="shared" si="4"/>
        <v>776736</v>
      </c>
      <c r="H37" s="26">
        <f t="shared" si="3"/>
        <v>512161.44657534244</v>
      </c>
      <c r="I37" s="26">
        <f t="shared" si="5"/>
        <v>1076865.9287671237</v>
      </c>
      <c r="J37" s="27">
        <f t="shared" si="6"/>
        <v>1928211</v>
      </c>
      <c r="K37" s="27">
        <f t="shared" si="7"/>
        <v>1862.6129280000002</v>
      </c>
      <c r="L37" s="136"/>
      <c r="Q37" s="50"/>
      <c r="R37" s="50" t="s">
        <v>118</v>
      </c>
      <c r="S37" s="5">
        <v>699</v>
      </c>
      <c r="T37" s="5">
        <v>647</v>
      </c>
      <c r="U37" s="5">
        <v>625</v>
      </c>
      <c r="V37" s="5">
        <v>572</v>
      </c>
      <c r="W37" s="5">
        <v>536</v>
      </c>
      <c r="X37" s="5">
        <v>281</v>
      </c>
      <c r="Y37" s="5">
        <v>155</v>
      </c>
      <c r="Z37" s="5">
        <v>155</v>
      </c>
      <c r="AA37" s="5">
        <v>93</v>
      </c>
      <c r="AB37" s="5">
        <v>31</v>
      </c>
      <c r="AC37" s="5">
        <f t="shared" ref="AC37:AC43" si="18">SUM(S37:AB37)</f>
        <v>3794</v>
      </c>
      <c r="AD37" s="1"/>
    </row>
    <row r="38" spans="4:31" ht="15" customHeight="1" x14ac:dyDescent="0.25">
      <c r="D38" s="36" t="s">
        <v>145</v>
      </c>
      <c r="E38" s="104">
        <f>K4</f>
        <v>96</v>
      </c>
      <c r="F38" s="24">
        <v>31</v>
      </c>
      <c r="G38" s="104">
        <f t="shared" si="4"/>
        <v>257126.39999999999</v>
      </c>
      <c r="H38" s="26">
        <f t="shared" si="3"/>
        <v>512161.44657534244</v>
      </c>
      <c r="I38" s="26">
        <f t="shared" si="5"/>
        <v>821830.8821917813</v>
      </c>
      <c r="J38" s="27">
        <f t="shared" si="6"/>
        <v>1673176</v>
      </c>
      <c r="K38" s="27">
        <f t="shared" si="7"/>
        <v>616.58910720000017</v>
      </c>
      <c r="L38" s="136"/>
      <c r="R38" s="50" t="s">
        <v>127</v>
      </c>
      <c r="S38" s="5">
        <v>1345</v>
      </c>
      <c r="T38" s="5">
        <v>1138</v>
      </c>
      <c r="U38" s="5">
        <v>1050</v>
      </c>
      <c r="V38" s="5">
        <v>900</v>
      </c>
      <c r="W38" s="5">
        <v>800</v>
      </c>
      <c r="X38" s="5">
        <v>562</v>
      </c>
      <c r="Y38" s="5">
        <v>525</v>
      </c>
      <c r="Z38" s="5">
        <v>466</v>
      </c>
      <c r="AA38" s="5">
        <v>356</v>
      </c>
      <c r="AB38" s="5">
        <v>336</v>
      </c>
      <c r="AC38" s="5">
        <f t="shared" si="18"/>
        <v>7478</v>
      </c>
      <c r="AD38" s="1"/>
    </row>
    <row r="39" spans="4:31" ht="15" customHeight="1" x14ac:dyDescent="0.25">
      <c r="D39" s="36" t="s">
        <v>146</v>
      </c>
      <c r="E39" s="104">
        <f>L6</f>
        <v>30</v>
      </c>
      <c r="F39" s="24">
        <v>28</v>
      </c>
      <c r="G39" s="104">
        <f t="shared" si="4"/>
        <v>72576</v>
      </c>
      <c r="H39" s="26">
        <f t="shared" si="3"/>
        <v>462597.43561643834</v>
      </c>
      <c r="I39" s="26">
        <f t="shared" si="5"/>
        <v>431809.44657534297</v>
      </c>
      <c r="J39" s="27">
        <f t="shared" si="6"/>
        <v>1283155</v>
      </c>
      <c r="K39" s="27">
        <f t="shared" si="7"/>
        <v>174.03724800000003</v>
      </c>
      <c r="L39" s="136"/>
      <c r="R39" s="50" t="s">
        <v>120</v>
      </c>
      <c r="S39" s="5">
        <v>1648</v>
      </c>
      <c r="T39" s="5">
        <v>1516</v>
      </c>
      <c r="U39" s="5">
        <v>1339</v>
      </c>
      <c r="V39" s="5">
        <v>1259</v>
      </c>
      <c r="W39" s="5">
        <v>951</v>
      </c>
      <c r="X39" s="5">
        <v>839</v>
      </c>
      <c r="Y39" s="5">
        <v>672</v>
      </c>
      <c r="Z39" s="5">
        <v>672</v>
      </c>
      <c r="AA39" s="5">
        <v>610</v>
      </c>
      <c r="AB39" s="5">
        <v>549</v>
      </c>
      <c r="AC39" s="5">
        <f t="shared" si="18"/>
        <v>10055</v>
      </c>
      <c r="AD39" s="1"/>
    </row>
    <row r="40" spans="4:31" ht="15" customHeight="1" x14ac:dyDescent="0.25">
      <c r="D40" s="36" t="s">
        <v>147</v>
      </c>
      <c r="E40" s="104">
        <f>M7</f>
        <v>30</v>
      </c>
      <c r="F40" s="24">
        <v>31</v>
      </c>
      <c r="G40" s="105">
        <f t="shared" si="4"/>
        <v>80352</v>
      </c>
      <c r="H40" s="30">
        <f t="shared" si="3"/>
        <v>512161.44657534244</v>
      </c>
      <c r="I40" s="30">
        <f t="shared" si="5"/>
        <v>5.2386894822120667E-10</v>
      </c>
      <c r="J40" s="31">
        <f t="shared" si="6"/>
        <v>851345</v>
      </c>
      <c r="K40" s="31">
        <f t="shared" si="7"/>
        <v>192.68409600000004</v>
      </c>
      <c r="L40" s="136"/>
      <c r="R40" s="50" t="s">
        <v>121</v>
      </c>
      <c r="S40" s="5">
        <v>1244</v>
      </c>
      <c r="T40" s="5">
        <v>1094</v>
      </c>
      <c r="U40" s="5">
        <v>1030</v>
      </c>
      <c r="V40" s="5">
        <v>904</v>
      </c>
      <c r="W40" s="5">
        <v>820</v>
      </c>
      <c r="X40" s="5">
        <v>530</v>
      </c>
      <c r="Y40" s="5">
        <v>442</v>
      </c>
      <c r="Z40" s="5">
        <v>310</v>
      </c>
      <c r="AA40" s="5">
        <v>310</v>
      </c>
      <c r="AB40" s="5">
        <v>268</v>
      </c>
      <c r="AC40" s="5">
        <f t="shared" si="18"/>
        <v>6952</v>
      </c>
      <c r="AD40" s="1"/>
    </row>
    <row r="41" spans="4:31" ht="15" customHeight="1" x14ac:dyDescent="0.25">
      <c r="D41" s="107"/>
      <c r="E41" s="107"/>
      <c r="F41" s="108"/>
      <c r="G41" s="36"/>
      <c r="H41" s="83"/>
      <c r="I41" s="26">
        <f>MAX(I29:I40)</f>
        <v>1076865.9287671237</v>
      </c>
      <c r="J41" s="26">
        <f>ROUND((I41-I43),0)</f>
        <v>1928211</v>
      </c>
      <c r="K41" s="106"/>
      <c r="L41" s="24"/>
      <c r="M41" s="1"/>
      <c r="R41" s="50" t="s">
        <v>122</v>
      </c>
      <c r="S41" s="5">
        <v>793</v>
      </c>
      <c r="T41" s="5">
        <v>709</v>
      </c>
      <c r="U41" s="5">
        <v>595</v>
      </c>
      <c r="V41" s="5">
        <v>595</v>
      </c>
      <c r="W41" s="5">
        <v>543</v>
      </c>
      <c r="X41" s="5">
        <v>336</v>
      </c>
      <c r="Y41" s="5">
        <v>258</v>
      </c>
      <c r="Z41" s="5">
        <v>141</v>
      </c>
      <c r="AA41" s="5">
        <v>96</v>
      </c>
      <c r="AB41" s="5">
        <v>51</v>
      </c>
      <c r="AC41" s="5">
        <f t="shared" si="18"/>
        <v>4117</v>
      </c>
      <c r="AD41" s="1"/>
    </row>
    <row r="42" spans="4:31" ht="15" customHeight="1" x14ac:dyDescent="0.25">
      <c r="D42" s="123" t="s">
        <v>175</v>
      </c>
      <c r="E42" s="104">
        <f>SUM(E29:E40)/12</f>
        <v>190.75</v>
      </c>
      <c r="F42" s="26">
        <f>SUM(F29:F40)</f>
        <v>365</v>
      </c>
      <c r="G42" s="104">
        <f>SUM(G29:G40)</f>
        <v>6030288</v>
      </c>
      <c r="H42" s="26">
        <f>SUM(H29:H40)</f>
        <v>6030288.0000000009</v>
      </c>
      <c r="I42" s="83"/>
      <c r="K42" s="106">
        <f>SUM(K29:K40)</f>
        <v>14460.630624000003</v>
      </c>
      <c r="L42" s="137"/>
      <c r="R42" s="50" t="s">
        <v>123</v>
      </c>
      <c r="S42" s="5">
        <v>697</v>
      </c>
      <c r="T42" s="5">
        <v>635</v>
      </c>
      <c r="U42" s="5">
        <v>545</v>
      </c>
      <c r="V42" s="5">
        <v>503</v>
      </c>
      <c r="W42" s="5">
        <v>300</v>
      </c>
      <c r="X42" s="5">
        <v>200</v>
      </c>
      <c r="Y42" s="5">
        <v>200</v>
      </c>
      <c r="Z42" s="5">
        <v>50</v>
      </c>
      <c r="AA42" s="5">
        <v>30</v>
      </c>
      <c r="AB42" s="5">
        <v>10</v>
      </c>
      <c r="AC42" s="5">
        <f t="shared" si="18"/>
        <v>3170</v>
      </c>
      <c r="AD42" s="1"/>
    </row>
    <row r="43" spans="4:31" ht="15" customHeight="1" x14ac:dyDescent="0.25">
      <c r="D43" s="109"/>
      <c r="E43" s="127">
        <f>G42/(365*24*3.6)</f>
        <v>191.21917808219177</v>
      </c>
      <c r="F43" s="110"/>
      <c r="G43" s="105">
        <f>G42/(365)</f>
        <v>16521.336986301369</v>
      </c>
      <c r="H43" s="110"/>
      <c r="I43" s="30">
        <f>MIN(I29:I40)</f>
        <v>-851345.35890410934</v>
      </c>
      <c r="J43" s="28"/>
      <c r="K43" s="132"/>
      <c r="L43" s="83"/>
      <c r="R43" s="50" t="s">
        <v>124</v>
      </c>
      <c r="S43" s="5">
        <v>1351</v>
      </c>
      <c r="T43" s="5">
        <v>1351</v>
      </c>
      <c r="U43" s="5">
        <v>843</v>
      </c>
      <c r="V43" s="5">
        <v>623</v>
      </c>
      <c r="W43" s="5">
        <v>476</v>
      </c>
      <c r="X43" s="5">
        <v>160</v>
      </c>
      <c r="Y43" s="5">
        <v>113</v>
      </c>
      <c r="Z43" s="5">
        <v>42</v>
      </c>
      <c r="AA43" s="5">
        <v>30</v>
      </c>
      <c r="AB43" s="5">
        <v>19</v>
      </c>
      <c r="AC43" s="5">
        <f t="shared" si="18"/>
        <v>5008</v>
      </c>
      <c r="AD43" s="1"/>
    </row>
    <row r="44" spans="4:31" ht="15" customHeight="1" x14ac:dyDescent="0.25">
      <c r="I44" s="83"/>
      <c r="J44" s="83"/>
      <c r="K44" s="83"/>
      <c r="L44" s="83"/>
      <c r="R44" s="5"/>
      <c r="AD44" s="1"/>
    </row>
    <row r="45" spans="4:31" ht="15" customHeight="1" x14ac:dyDescent="0.25">
      <c r="R45" s="5"/>
      <c r="S45" s="5">
        <f t="shared" ref="S45:AB45" si="19">SUM(S33:S43)</f>
        <v>11105</v>
      </c>
      <c r="T45" s="5">
        <f t="shared" si="19"/>
        <v>10008</v>
      </c>
      <c r="U45" s="5">
        <f t="shared" si="19"/>
        <v>8685</v>
      </c>
      <c r="V45" s="5">
        <f t="shared" si="19"/>
        <v>7687</v>
      </c>
      <c r="W45" s="5">
        <f t="shared" si="19"/>
        <v>6202</v>
      </c>
      <c r="X45" s="5">
        <f t="shared" si="19"/>
        <v>4365</v>
      </c>
      <c r="Y45" s="5">
        <f t="shared" si="19"/>
        <v>3348</v>
      </c>
      <c r="Z45" s="5">
        <f t="shared" si="19"/>
        <v>2652</v>
      </c>
      <c r="AA45" s="5">
        <f t="shared" si="19"/>
        <v>2065</v>
      </c>
      <c r="AB45" s="5">
        <f t="shared" si="19"/>
        <v>1637</v>
      </c>
      <c r="AC45" s="5">
        <f>SUM(S45:AB45)</f>
        <v>57754</v>
      </c>
      <c r="AD45" s="1"/>
    </row>
    <row r="46" spans="4:31" ht="15" customHeight="1" x14ac:dyDescent="0.25">
      <c r="R46" s="5"/>
      <c r="S46" s="1">
        <f t="shared" ref="S46:AB46" si="20">100*(S32/$AB$32)</f>
        <v>10</v>
      </c>
      <c r="T46" s="1">
        <f t="shared" si="20"/>
        <v>20</v>
      </c>
      <c r="U46" s="1">
        <f t="shared" si="20"/>
        <v>30</v>
      </c>
      <c r="V46" s="1">
        <f t="shared" si="20"/>
        <v>40</v>
      </c>
      <c r="W46" s="1">
        <f t="shared" si="20"/>
        <v>50</v>
      </c>
      <c r="X46" s="1">
        <f t="shared" si="20"/>
        <v>60</v>
      </c>
      <c r="Y46" s="1">
        <f t="shared" si="20"/>
        <v>70</v>
      </c>
      <c r="Z46" s="1">
        <f t="shared" si="20"/>
        <v>80</v>
      </c>
      <c r="AA46" s="1">
        <f t="shared" si="20"/>
        <v>90</v>
      </c>
      <c r="AB46" s="1">
        <f t="shared" si="20"/>
        <v>100</v>
      </c>
      <c r="AC46" s="1"/>
    </row>
    <row r="48" spans="4:31" ht="15" customHeight="1" x14ac:dyDescent="0.25">
      <c r="AD48" s="5"/>
    </row>
    <row r="50" spans="18:30" ht="15" customHeight="1" x14ac:dyDescent="0.25">
      <c r="AD50" s="14"/>
    </row>
    <row r="52" spans="18:30" ht="15" customHeight="1" x14ac:dyDescent="0.25">
      <c r="R52" s="5"/>
    </row>
  </sheetData>
  <sortState xmlns:xlrd2="http://schemas.microsoft.com/office/spreadsheetml/2017/richdata2" ref="S20:S29">
    <sortCondition descending="1" ref="S17"/>
  </sortState>
  <mergeCells count="2">
    <mergeCell ref="D27:D28"/>
    <mergeCell ref="Q1:AC3"/>
  </mergeCells>
  <conditionalFormatting sqref="I29:I40">
    <cfRule type="cellIs" dxfId="13" priority="2" operator="equal">
      <formula>$I$41</formula>
    </cfRule>
    <cfRule type="cellIs" dxfId="12" priority="3" operator="equal">
      <formula>$I$43</formula>
    </cfRule>
    <cfRule type="cellIs" dxfId="11" priority="4" operator="equal">
      <formula>$I$41</formula>
    </cfRule>
  </conditionalFormatting>
  <conditionalFormatting sqref="J29:J40">
    <cfRule type="cellIs" dxfId="10" priority="8" operator="equal">
      <formula>$J$41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>
              <from>
                <xdr:col>11</xdr:col>
                <xdr:colOff>57150</xdr:colOff>
                <xdr:row>17</xdr:row>
                <xdr:rowOff>19050</xdr:rowOff>
              </from>
              <to>
                <xdr:col>13</xdr:col>
                <xdr:colOff>704850</xdr:colOff>
                <xdr:row>19</xdr:row>
                <xdr:rowOff>171450</xdr:rowOff>
              </to>
            </anchor>
          </objectPr>
        </oleObject>
      </mc:Choice>
      <mc:Fallback>
        <oleObject progId="Equation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F19"/>
  <sheetViews>
    <sheetView zoomScaleNormal="100" workbookViewId="0">
      <selection activeCell="H22" sqref="H22"/>
    </sheetView>
  </sheetViews>
  <sheetFormatPr baseColWidth="10" defaultRowHeight="15" customHeight="1" x14ac:dyDescent="0.25"/>
  <sheetData>
    <row r="6" spans="2:6" ht="15" customHeight="1" x14ac:dyDescent="0.25">
      <c r="B6" s="84" t="s">
        <v>111</v>
      </c>
      <c r="C6" s="5">
        <v>6378</v>
      </c>
      <c r="D6" s="85" t="s">
        <v>106</v>
      </c>
    </row>
    <row r="7" spans="2:6" ht="15" customHeight="1" x14ac:dyDescent="0.25">
      <c r="B7" s="84" t="s">
        <v>110</v>
      </c>
      <c r="C7" s="5">
        <v>6357</v>
      </c>
      <c r="D7" s="85" t="s">
        <v>106</v>
      </c>
      <c r="F7">
        <f>((C7)/(C6))^2</f>
        <v>0.99342570459897583</v>
      </c>
    </row>
    <row r="8" spans="2:6" ht="15" customHeight="1" x14ac:dyDescent="0.25">
      <c r="B8" s="60" t="s">
        <v>109</v>
      </c>
      <c r="C8" s="5">
        <v>6371</v>
      </c>
      <c r="D8" s="85" t="s">
        <v>106</v>
      </c>
    </row>
    <row r="9" spans="2:6" ht="15" customHeight="1" x14ac:dyDescent="0.25">
      <c r="C9" s="5">
        <f>10000*2/PI()</f>
        <v>6366.1977236758139</v>
      </c>
    </row>
    <row r="10" spans="2:6" ht="15" customHeight="1" x14ac:dyDescent="0.25">
      <c r="B10" s="86" t="s">
        <v>107</v>
      </c>
      <c r="C10" s="86" t="s">
        <v>108</v>
      </c>
      <c r="D10" s="87" t="s">
        <v>112</v>
      </c>
      <c r="E10" s="89" t="s">
        <v>113</v>
      </c>
      <c r="F10" s="90" t="s">
        <v>114</v>
      </c>
    </row>
    <row r="11" spans="2:6" ht="15" customHeight="1" x14ac:dyDescent="0.25">
      <c r="B11" s="1">
        <v>0</v>
      </c>
      <c r="C11" s="88">
        <f>B11*(PI()/180)</f>
        <v>0</v>
      </c>
      <c r="D11" s="88">
        <f>(COS(C11))^2</f>
        <v>1</v>
      </c>
      <c r="E11" s="5">
        <f>$C$7/(1-(1-$F$7)*D11)^0.5</f>
        <v>6378</v>
      </c>
      <c r="F11" s="5">
        <f>E11*(PI())/(2*90*60)*1000</f>
        <v>1855.2849948699723</v>
      </c>
    </row>
    <row r="12" spans="2:6" ht="15" customHeight="1" x14ac:dyDescent="0.25">
      <c r="B12" s="1">
        <f>B11+15</f>
        <v>15</v>
      </c>
      <c r="C12" s="88">
        <f t="shared" ref="C12:C17" si="0">B12*(PI()/180)</f>
        <v>0.26179938779914941</v>
      </c>
      <c r="D12" s="88">
        <f t="shared" ref="D12:D17" si="1">(COS(C12))^2</f>
        <v>0.93301270189221941</v>
      </c>
      <c r="E12" s="5">
        <f t="shared" ref="E12:E17" si="2">$C$7/(1-(1-$F$7)*D12)^0.5</f>
        <v>6376.586758324519</v>
      </c>
      <c r="F12" s="5">
        <f t="shared" ref="F12:F17" si="3">E12*(PI())/(2*90*60)*1000</f>
        <v>1854.8738995305798</v>
      </c>
    </row>
    <row r="13" spans="2:6" ht="15" customHeight="1" x14ac:dyDescent="0.25">
      <c r="B13" s="1">
        <f t="shared" ref="B13:B17" si="4">B12+15</f>
        <v>30</v>
      </c>
      <c r="C13" s="88">
        <f t="shared" si="0"/>
        <v>0.52359877559829882</v>
      </c>
      <c r="D13" s="88">
        <f t="shared" si="1"/>
        <v>0.75000000000000011</v>
      </c>
      <c r="E13" s="5">
        <f t="shared" si="2"/>
        <v>6372.7304944266334</v>
      </c>
      <c r="F13" s="5">
        <f t="shared" si="3"/>
        <v>1853.7521578331816</v>
      </c>
    </row>
    <row r="14" spans="2:6" ht="15" customHeight="1" x14ac:dyDescent="0.25">
      <c r="B14" s="1">
        <f t="shared" si="4"/>
        <v>45</v>
      </c>
      <c r="C14" s="88">
        <f t="shared" si="0"/>
        <v>0.78539816339744828</v>
      </c>
      <c r="D14" s="88">
        <f t="shared" si="1"/>
        <v>0.50000000000000011</v>
      </c>
      <c r="E14" s="5">
        <f t="shared" si="2"/>
        <v>6367.4740283097472</v>
      </c>
      <c r="F14" s="5">
        <f t="shared" si="3"/>
        <v>1852.2231138205284</v>
      </c>
    </row>
    <row r="15" spans="2:6" ht="15" customHeight="1" x14ac:dyDescent="0.25">
      <c r="B15" s="1">
        <f t="shared" si="4"/>
        <v>60</v>
      </c>
      <c r="C15" s="88">
        <f t="shared" si="0"/>
        <v>1.0471975511965976</v>
      </c>
      <c r="D15" s="88">
        <f t="shared" si="1"/>
        <v>0.25000000000000011</v>
      </c>
      <c r="E15" s="5">
        <f t="shared" si="2"/>
        <v>6362.2305479607448</v>
      </c>
      <c r="F15" s="5">
        <f t="shared" si="3"/>
        <v>1850.6978472146334</v>
      </c>
    </row>
    <row r="16" spans="2:6" ht="15" customHeight="1" x14ac:dyDescent="0.25">
      <c r="B16" s="1">
        <f t="shared" si="4"/>
        <v>75</v>
      </c>
      <c r="C16" s="88">
        <f t="shared" si="0"/>
        <v>1.3089969389957472</v>
      </c>
      <c r="D16" s="88">
        <f t="shared" si="1"/>
        <v>6.698729810778066E-2</v>
      </c>
      <c r="E16" s="5">
        <f t="shared" si="2"/>
        <v>6358.4002557531121</v>
      </c>
      <c r="F16" s="5">
        <f t="shared" si="3"/>
        <v>1849.5836603756889</v>
      </c>
    </row>
    <row r="17" spans="2:6" ht="15" customHeight="1" x14ac:dyDescent="0.25">
      <c r="B17" s="1">
        <f t="shared" si="4"/>
        <v>90</v>
      </c>
      <c r="C17" s="88">
        <f t="shared" si="0"/>
        <v>1.5707963267948966</v>
      </c>
      <c r="D17" s="88">
        <f t="shared" si="1"/>
        <v>3.7524718414124473E-33</v>
      </c>
      <c r="E17" s="5">
        <f t="shared" si="2"/>
        <v>6357</v>
      </c>
      <c r="F17" s="5">
        <f t="shared" si="3"/>
        <v>1849.1763424879921</v>
      </c>
    </row>
    <row r="18" spans="2:6" ht="15" customHeight="1" x14ac:dyDescent="0.25">
      <c r="B18" s="1"/>
    </row>
    <row r="19" spans="2:6" ht="15" customHeight="1" x14ac:dyDescent="0.25">
      <c r="B19" s="1">
        <v>49</v>
      </c>
      <c r="C19" s="88">
        <f t="shared" ref="C19" si="5">B19*(PI()/180)</f>
        <v>0.85521133347722145</v>
      </c>
      <c r="D19" s="88">
        <f t="shared" ref="D19" si="6">(COS(C19))^2</f>
        <v>0.43041344951996724</v>
      </c>
      <c r="E19" s="5">
        <f t="shared" ref="E19" si="7">$C$7/(1-(1-$F$7)*D19)^0.5</f>
        <v>6366.0132235369501</v>
      </c>
      <c r="F19" s="5">
        <f>E19*(PI())/(2*90*60)*1000</f>
        <v>1851.7981829369594</v>
      </c>
    </row>
  </sheetData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r:id="rId5">
            <anchor moveWithCells="1">
              <from>
                <xdr:col>0</xdr:col>
                <xdr:colOff>409575</xdr:colOff>
                <xdr:row>0</xdr:row>
                <xdr:rowOff>142875</xdr:rowOff>
              </from>
              <to>
                <xdr:col>2</xdr:col>
                <xdr:colOff>742950</xdr:colOff>
                <xdr:row>4</xdr:row>
                <xdr:rowOff>95250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r:id="rId7">
            <anchor moveWithCells="1">
              <from>
                <xdr:col>4</xdr:col>
                <xdr:colOff>0</xdr:colOff>
                <xdr:row>5</xdr:row>
                <xdr:rowOff>38100</xdr:rowOff>
              </from>
              <to>
                <xdr:col>4</xdr:col>
                <xdr:colOff>752475</xdr:colOff>
                <xdr:row>7</xdr:row>
                <xdr:rowOff>161925</xdr:rowOff>
              </to>
            </anchor>
          </objectPr>
        </oleObject>
      </mc:Choice>
      <mc:Fallback>
        <oleObject progId="Equation.3" shapeId="5122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6"/>
  <sheetViews>
    <sheetView zoomScale="55" zoomScaleNormal="55" workbookViewId="0">
      <selection activeCell="R21" sqref="R21"/>
    </sheetView>
  </sheetViews>
  <sheetFormatPr baseColWidth="10" defaultRowHeight="15" customHeight="1" x14ac:dyDescent="0.25"/>
  <sheetData>
    <row r="1" spans="1:20" ht="15" customHeight="1" x14ac:dyDescent="0.25">
      <c r="A1" s="151" t="s">
        <v>194</v>
      </c>
      <c r="C1" s="60" t="s">
        <v>240</v>
      </c>
      <c r="D1" s="1">
        <v>55</v>
      </c>
      <c r="E1" s="13" t="s">
        <v>196</v>
      </c>
    </row>
    <row r="2" spans="1:20" ht="15" customHeight="1" x14ac:dyDescent="0.25">
      <c r="C2" s="60" t="s">
        <v>237</v>
      </c>
      <c r="D2" s="152">
        <v>16</v>
      </c>
      <c r="E2" s="100" t="s">
        <v>130</v>
      </c>
      <c r="I2" s="75" t="s">
        <v>201</v>
      </c>
      <c r="O2" s="75" t="s">
        <v>346</v>
      </c>
    </row>
    <row r="3" spans="1:20" ht="15" customHeight="1" x14ac:dyDescent="0.25">
      <c r="C3" s="141" t="s">
        <v>207</v>
      </c>
      <c r="D3" s="99">
        <v>92</v>
      </c>
      <c r="E3" s="85" t="s">
        <v>131</v>
      </c>
      <c r="K3" s="11" t="s">
        <v>208</v>
      </c>
      <c r="L3" s="60" t="s">
        <v>349</v>
      </c>
      <c r="M3" s="65">
        <f>2*14</f>
        <v>28</v>
      </c>
      <c r="N3" s="13" t="s">
        <v>44</v>
      </c>
      <c r="O3" s="292"/>
      <c r="P3" s="292"/>
      <c r="Q3" s="11" t="s">
        <v>344</v>
      </c>
      <c r="R3" s="60" t="s">
        <v>351</v>
      </c>
      <c r="S3" s="65">
        <v>2</v>
      </c>
      <c r="T3" s="13" t="s">
        <v>44</v>
      </c>
    </row>
    <row r="4" spans="1:20" ht="15" customHeight="1" x14ac:dyDescent="0.25">
      <c r="C4" s="60" t="s">
        <v>197</v>
      </c>
      <c r="D4" s="1">
        <v>3.5</v>
      </c>
      <c r="E4" s="13" t="s">
        <v>195</v>
      </c>
      <c r="K4" s="11" t="s">
        <v>209</v>
      </c>
      <c r="L4" s="60" t="s">
        <v>350</v>
      </c>
      <c r="M4" s="65">
        <f>2*16</f>
        <v>32</v>
      </c>
      <c r="N4" s="13" t="s">
        <v>44</v>
      </c>
      <c r="R4" s="60" t="s">
        <v>345</v>
      </c>
      <c r="S4" s="138">
        <f>S3/$M$6</f>
        <v>8.9285714285714288E-2</v>
      </c>
      <c r="T4" s="13" t="s">
        <v>202</v>
      </c>
    </row>
    <row r="5" spans="1:20" ht="15" customHeight="1" x14ac:dyDescent="0.25">
      <c r="C5" s="60" t="s">
        <v>198</v>
      </c>
      <c r="D5" s="1">
        <v>12</v>
      </c>
      <c r="E5" s="13" t="s">
        <v>196</v>
      </c>
      <c r="L5" s="60" t="s">
        <v>210</v>
      </c>
      <c r="M5" s="65">
        <f>0.78*M3+0.22*M4</f>
        <v>28.88</v>
      </c>
      <c r="N5" s="13" t="s">
        <v>44</v>
      </c>
      <c r="O5" s="75"/>
      <c r="Q5" s="11" t="s">
        <v>353</v>
      </c>
    </row>
    <row r="6" spans="1:20" ht="15" customHeight="1" x14ac:dyDescent="0.25">
      <c r="C6" s="101" t="s">
        <v>203</v>
      </c>
      <c r="D6" s="99">
        <v>4.0999999999999996</v>
      </c>
      <c r="E6" s="100" t="s">
        <v>130</v>
      </c>
      <c r="K6" s="11" t="s">
        <v>354</v>
      </c>
      <c r="L6" s="60" t="s">
        <v>355</v>
      </c>
      <c r="M6" s="1">
        <v>22.4</v>
      </c>
      <c r="N6" s="13" t="s">
        <v>193</v>
      </c>
      <c r="O6" s="11"/>
    </row>
    <row r="7" spans="1:20" ht="15" customHeight="1" x14ac:dyDescent="0.25">
      <c r="L7" s="60" t="s">
        <v>205</v>
      </c>
      <c r="M7" s="138">
        <f>M5/$M$6</f>
        <v>1.2892857142857144</v>
      </c>
      <c r="N7" s="13" t="s">
        <v>202</v>
      </c>
    </row>
    <row r="8" spans="1:20" ht="15" customHeight="1" x14ac:dyDescent="0.25">
      <c r="C8" s="96"/>
      <c r="D8" s="10">
        <f>(2*D4*1000)/((D3/100)*M9*M7*D5^3)</f>
        <v>5.764066057458054</v>
      </c>
      <c r="E8" s="100" t="s">
        <v>199</v>
      </c>
    </row>
    <row r="9" spans="1:20" ht="15" customHeight="1" x14ac:dyDescent="0.25">
      <c r="H9" s="10">
        <f>D11*1000/D5</f>
        <v>317.02898550724638</v>
      </c>
      <c r="I9" s="13" t="s">
        <v>212</v>
      </c>
      <c r="K9" s="11" t="s">
        <v>204</v>
      </c>
      <c r="L9" s="141" t="s">
        <v>206</v>
      </c>
      <c r="M9" s="1">
        <v>0.59250000000000003</v>
      </c>
    </row>
    <row r="10" spans="1:20" ht="15" customHeight="1" x14ac:dyDescent="0.25">
      <c r="C10" s="101" t="s">
        <v>200</v>
      </c>
      <c r="D10" s="139">
        <f>(D8*(4/PI()))^0.5</f>
        <v>2.7090656770963117</v>
      </c>
      <c r="E10" s="100" t="s">
        <v>130</v>
      </c>
    </row>
    <row r="11" spans="1:20" ht="15" customHeight="1" x14ac:dyDescent="0.25">
      <c r="C11" s="60" t="s">
        <v>211</v>
      </c>
      <c r="D11" s="138">
        <f>D4/(D3/100)</f>
        <v>3.8043478260869565</v>
      </c>
      <c r="E11" s="13" t="s">
        <v>195</v>
      </c>
      <c r="O11" s="75" t="s">
        <v>352</v>
      </c>
      <c r="P11" s="292"/>
      <c r="Q11" s="292"/>
      <c r="R11" s="292"/>
      <c r="S11" s="292"/>
      <c r="T11" s="292"/>
    </row>
    <row r="12" spans="1:20" ht="15" customHeight="1" x14ac:dyDescent="0.25">
      <c r="O12" s="292"/>
      <c r="P12" s="292"/>
      <c r="Q12" s="11" t="s">
        <v>347</v>
      </c>
      <c r="R12" s="60" t="s">
        <v>348</v>
      </c>
      <c r="S12" s="65">
        <v>4</v>
      </c>
      <c r="T12" s="13" t="s">
        <v>44</v>
      </c>
    </row>
    <row r="13" spans="1:20" ht="15" customHeight="1" x14ac:dyDescent="0.25">
      <c r="O13" s="292"/>
      <c r="P13" s="292"/>
      <c r="Q13" s="292"/>
      <c r="R13" s="60" t="s">
        <v>345</v>
      </c>
      <c r="S13" s="138">
        <f>S12/$M$6</f>
        <v>0.17857142857142858</v>
      </c>
      <c r="T13" s="13" t="s">
        <v>202</v>
      </c>
    </row>
    <row r="14" spans="1:20" ht="15" customHeight="1" x14ac:dyDescent="0.25">
      <c r="A14" s="170" t="s">
        <v>232</v>
      </c>
      <c r="B14" s="171"/>
      <c r="D14" s="124" t="s">
        <v>213</v>
      </c>
      <c r="E14" s="156" t="s">
        <v>214</v>
      </c>
      <c r="F14" s="157" t="s">
        <v>215</v>
      </c>
      <c r="G14" s="157" t="s">
        <v>216</v>
      </c>
      <c r="H14" s="157" t="s">
        <v>217</v>
      </c>
      <c r="I14" s="157" t="s">
        <v>218</v>
      </c>
      <c r="J14" s="157" t="s">
        <v>219</v>
      </c>
      <c r="K14" s="157" t="s">
        <v>220</v>
      </c>
      <c r="L14" s="157" t="s">
        <v>221</v>
      </c>
      <c r="M14" s="157" t="s">
        <v>222</v>
      </c>
      <c r="N14" s="157" t="s">
        <v>223</v>
      </c>
      <c r="O14" s="158" t="s">
        <v>224</v>
      </c>
    </row>
    <row r="15" spans="1:20" ht="15" customHeight="1" x14ac:dyDescent="0.25">
      <c r="A15" s="169" t="s">
        <v>231</v>
      </c>
      <c r="B15" s="162" t="s">
        <v>235</v>
      </c>
      <c r="C15" s="37">
        <v>0</v>
      </c>
      <c r="D15" s="173"/>
      <c r="E15" s="110"/>
      <c r="F15" s="110"/>
      <c r="G15" s="110"/>
      <c r="H15" s="172"/>
      <c r="I15" s="29"/>
      <c r="J15" s="110"/>
      <c r="K15" s="110"/>
      <c r="L15" s="110"/>
      <c r="M15" s="110"/>
      <c r="N15" s="110"/>
      <c r="O15" s="166"/>
    </row>
    <row r="16" spans="1:20" ht="15" customHeight="1" x14ac:dyDescent="0.25">
      <c r="A16" s="36">
        <v>30</v>
      </c>
      <c r="B16" s="162" t="s">
        <v>234</v>
      </c>
      <c r="C16" s="161">
        <f>MAX(D16:O16)</f>
        <v>30</v>
      </c>
      <c r="D16" s="159">
        <v>22</v>
      </c>
      <c r="E16" s="160">
        <v>18</v>
      </c>
      <c r="F16" s="160">
        <v>23</v>
      </c>
      <c r="G16" s="160">
        <v>25</v>
      </c>
      <c r="H16" s="160">
        <v>27</v>
      </c>
      <c r="I16" s="160">
        <v>30</v>
      </c>
      <c r="J16" s="160">
        <v>23.5</v>
      </c>
      <c r="K16" s="160">
        <v>29.75</v>
      </c>
      <c r="L16" s="160">
        <v>23</v>
      </c>
      <c r="M16" s="160">
        <v>20</v>
      </c>
      <c r="N16" s="160">
        <v>20</v>
      </c>
      <c r="O16" s="161">
        <v>18</v>
      </c>
    </row>
    <row r="17" spans="1:15" ht="15" customHeight="1" x14ac:dyDescent="0.25">
      <c r="A17" s="36">
        <v>30</v>
      </c>
      <c r="B17" s="162" t="s">
        <v>233</v>
      </c>
      <c r="C17" s="161">
        <f>SUM(D17:O17)/12</f>
        <v>4.871666666666667</v>
      </c>
      <c r="D17" s="159">
        <v>4.9400000000000004</v>
      </c>
      <c r="E17" s="160">
        <v>4.29</v>
      </c>
      <c r="F17" s="160">
        <v>4.33</v>
      </c>
      <c r="G17" s="160">
        <v>4.49</v>
      </c>
      <c r="H17" s="160">
        <v>4.25</v>
      </c>
      <c r="I17" s="160">
        <v>5.3</v>
      </c>
      <c r="J17" s="160">
        <v>5.39</v>
      </c>
      <c r="K17" s="160">
        <v>6.13</v>
      </c>
      <c r="L17" s="160">
        <v>4.68</v>
      </c>
      <c r="M17" s="160">
        <v>4.6900000000000004</v>
      </c>
      <c r="N17" s="160">
        <v>4.9000000000000004</v>
      </c>
      <c r="O17" s="161">
        <v>5.07</v>
      </c>
    </row>
    <row r="18" spans="1:15" ht="15" customHeight="1" x14ac:dyDescent="0.25">
      <c r="A18" s="38">
        <v>15</v>
      </c>
      <c r="B18" s="172" t="s">
        <v>233</v>
      </c>
      <c r="C18" s="165">
        <f>SUM(D18:O18)/12</f>
        <v>4.1258333333333326</v>
      </c>
      <c r="D18" s="163">
        <v>4.38</v>
      </c>
      <c r="E18" s="164">
        <v>3.73</v>
      </c>
      <c r="F18" s="164">
        <v>4.5599999999999996</v>
      </c>
      <c r="G18" s="164">
        <v>3.6</v>
      </c>
      <c r="H18" s="164">
        <v>3.49</v>
      </c>
      <c r="I18" s="164">
        <v>4.25</v>
      </c>
      <c r="J18" s="164">
        <v>4.5599999999999996</v>
      </c>
      <c r="K18" s="164">
        <v>5.0999999999999996</v>
      </c>
      <c r="L18" s="164">
        <v>3.76</v>
      </c>
      <c r="M18" s="164">
        <v>3.88</v>
      </c>
      <c r="N18" s="164">
        <v>4.05</v>
      </c>
      <c r="O18" s="165">
        <v>4.1500000000000004</v>
      </c>
    </row>
    <row r="20" spans="1:15" ht="15" customHeight="1" x14ac:dyDescent="0.25">
      <c r="D20" s="142"/>
    </row>
    <row r="21" spans="1:15" ht="15" customHeight="1" x14ac:dyDescent="0.25">
      <c r="D21" s="60"/>
      <c r="F21" s="149" t="s">
        <v>39</v>
      </c>
      <c r="G21" s="149" t="s">
        <v>236</v>
      </c>
      <c r="H21" s="149" t="s">
        <v>230</v>
      </c>
      <c r="I21" s="149" t="s">
        <v>230</v>
      </c>
    </row>
    <row r="22" spans="1:15" ht="15" customHeight="1" x14ac:dyDescent="0.25">
      <c r="D22" s="142"/>
      <c r="H22" s="154">
        <f>C16</f>
        <v>30</v>
      </c>
      <c r="I22" s="154">
        <f>D1</f>
        <v>55</v>
      </c>
    </row>
    <row r="23" spans="1:15" ht="15" customHeight="1" x14ac:dyDescent="0.25">
      <c r="D23" s="142"/>
      <c r="F23" s="153" t="s">
        <v>238</v>
      </c>
      <c r="G23" s="153" t="s">
        <v>239</v>
      </c>
      <c r="H23" s="153" t="s">
        <v>96</v>
      </c>
      <c r="I23" s="153" t="s">
        <v>96</v>
      </c>
    </row>
    <row r="24" spans="1:15" ht="15" customHeight="1" x14ac:dyDescent="0.25">
      <c r="A24" s="144"/>
      <c r="B24" s="144"/>
      <c r="C24" s="144"/>
      <c r="D24" s="145"/>
      <c r="E24" s="144"/>
      <c r="F24" s="143">
        <v>3</v>
      </c>
      <c r="G24" s="1">
        <f t="shared" ref="G24:G33" si="0">$C$15+F24</f>
        <v>3</v>
      </c>
      <c r="H24" s="65">
        <f t="shared" ref="H24:I33" si="1">H$22*($G24/$A$17)^$D$34</f>
        <v>17.273938731480779</v>
      </c>
      <c r="I24" s="65">
        <f t="shared" si="1"/>
        <v>31.668887674381427</v>
      </c>
      <c r="L24" s="1">
        <f t="shared" ref="L24:L33" si="2">F24</f>
        <v>3</v>
      </c>
      <c r="M24" s="5">
        <f t="shared" ref="M24:M33" si="3">H24</f>
        <v>17.273938731480779</v>
      </c>
      <c r="N24" s="5">
        <f t="shared" ref="N24:N33" si="4">I24</f>
        <v>31.668887674381427</v>
      </c>
    </row>
    <row r="25" spans="1:15" ht="15" customHeight="1" x14ac:dyDescent="0.25">
      <c r="A25" s="144"/>
      <c r="B25" s="143"/>
      <c r="C25" s="143"/>
      <c r="D25" s="144"/>
      <c r="E25" s="1"/>
      <c r="F25" s="1">
        <f t="shared" ref="F25:F33" si="5">F24+3</f>
        <v>6</v>
      </c>
      <c r="G25" s="1">
        <f t="shared" si="0"/>
        <v>6</v>
      </c>
      <c r="H25" s="65">
        <f t="shared" si="1"/>
        <v>20.396575605784019</v>
      </c>
      <c r="I25" s="65">
        <f t="shared" si="1"/>
        <v>37.393721943937365</v>
      </c>
      <c r="L25" s="1">
        <f t="shared" si="2"/>
        <v>6</v>
      </c>
      <c r="M25" s="5">
        <f t="shared" si="3"/>
        <v>20.396575605784019</v>
      </c>
      <c r="N25" s="5">
        <f t="shared" si="4"/>
        <v>37.393721943937365</v>
      </c>
    </row>
    <row r="26" spans="1:15" ht="15" customHeight="1" x14ac:dyDescent="0.25">
      <c r="A26" s="143"/>
      <c r="B26" s="143"/>
      <c r="C26" s="143"/>
      <c r="E26" s="144"/>
      <c r="F26" s="1">
        <f t="shared" si="5"/>
        <v>9</v>
      </c>
      <c r="G26" s="1">
        <f t="shared" si="0"/>
        <v>9</v>
      </c>
      <c r="H26" s="65">
        <f t="shared" si="1"/>
        <v>22.478720945077075</v>
      </c>
      <c r="I26" s="65">
        <f t="shared" si="1"/>
        <v>41.210988399307972</v>
      </c>
      <c r="L26" s="1">
        <f t="shared" si="2"/>
        <v>9</v>
      </c>
      <c r="M26" s="5">
        <f t="shared" si="3"/>
        <v>22.478720945077075</v>
      </c>
      <c r="N26" s="5">
        <f t="shared" si="4"/>
        <v>41.210988399307972</v>
      </c>
    </row>
    <row r="27" spans="1:15" ht="15" customHeight="1" x14ac:dyDescent="0.25">
      <c r="A27" s="148">
        <v>1</v>
      </c>
      <c r="B27">
        <f>LN(A17/$A$17)</f>
        <v>0</v>
      </c>
      <c r="C27" s="144">
        <f>LN(C17)</f>
        <v>1.5834361098950998</v>
      </c>
      <c r="D27" s="1" t="s">
        <v>226</v>
      </c>
      <c r="E27">
        <f>MDETERM(A27:B28)</f>
        <v>-0.69314718055994529</v>
      </c>
      <c r="F27" s="1">
        <f t="shared" si="5"/>
        <v>12</v>
      </c>
      <c r="G27" s="1">
        <f t="shared" si="0"/>
        <v>12</v>
      </c>
      <c r="H27" s="65">
        <f t="shared" si="1"/>
        <v>24.083696423230343</v>
      </c>
      <c r="I27" s="65">
        <f t="shared" si="1"/>
        <v>44.153443442588966</v>
      </c>
      <c r="L27" s="1">
        <f t="shared" si="2"/>
        <v>12</v>
      </c>
      <c r="M27" s="5">
        <f t="shared" si="3"/>
        <v>24.083696423230343</v>
      </c>
      <c r="N27" s="5">
        <f t="shared" si="4"/>
        <v>44.153443442588966</v>
      </c>
    </row>
    <row r="28" spans="1:15" ht="15" customHeight="1" x14ac:dyDescent="0.25">
      <c r="A28" s="148">
        <v>1</v>
      </c>
      <c r="B28">
        <f>LN(A18/$A$17)</f>
        <v>-0.69314718055994529</v>
      </c>
      <c r="C28" s="144">
        <f>LN(C18)</f>
        <v>1.4172680195853311</v>
      </c>
      <c r="D28" s="11"/>
      <c r="F28" s="1">
        <f t="shared" si="5"/>
        <v>15</v>
      </c>
      <c r="G28" s="1">
        <f t="shared" si="0"/>
        <v>15</v>
      </c>
      <c r="H28" s="65">
        <f t="shared" si="1"/>
        <v>25.407115976736218</v>
      </c>
      <c r="I28" s="65">
        <f t="shared" si="1"/>
        <v>46.579712624016402</v>
      </c>
      <c r="L28" s="1">
        <f t="shared" si="2"/>
        <v>15</v>
      </c>
      <c r="M28" s="5">
        <f t="shared" si="3"/>
        <v>25.407115976736218</v>
      </c>
      <c r="N28" s="5">
        <f t="shared" si="4"/>
        <v>46.579712624016402</v>
      </c>
    </row>
    <row r="29" spans="1:15" ht="15" customHeight="1" x14ac:dyDescent="0.25">
      <c r="F29" s="1">
        <f t="shared" si="5"/>
        <v>18</v>
      </c>
      <c r="G29" s="1">
        <f t="shared" si="0"/>
        <v>18</v>
      </c>
      <c r="H29" s="65">
        <f t="shared" si="1"/>
        <v>26.542234426362484</v>
      </c>
      <c r="I29" s="65">
        <f t="shared" si="1"/>
        <v>48.660763114997884</v>
      </c>
      <c r="L29" s="1">
        <f t="shared" si="2"/>
        <v>18</v>
      </c>
      <c r="M29" s="5">
        <f t="shared" si="3"/>
        <v>26.542234426362484</v>
      </c>
      <c r="N29" s="5">
        <f t="shared" si="4"/>
        <v>48.660763114997884</v>
      </c>
    </row>
    <row r="30" spans="1:15" ht="15" customHeight="1" x14ac:dyDescent="0.25">
      <c r="A30" s="146">
        <f>C27</f>
        <v>1.5834361098950998</v>
      </c>
      <c r="B30" s="146">
        <f>B27</f>
        <v>0</v>
      </c>
      <c r="C30" s="11" t="s">
        <v>228</v>
      </c>
      <c r="D30">
        <f>MDETERM(A30:B31)</f>
        <v>-1.097554275170596</v>
      </c>
      <c r="F30" s="1">
        <f t="shared" si="5"/>
        <v>21</v>
      </c>
      <c r="G30" s="1">
        <f t="shared" si="0"/>
        <v>21</v>
      </c>
      <c r="H30" s="65">
        <f t="shared" si="1"/>
        <v>27.541438917432377</v>
      </c>
      <c r="I30" s="65">
        <f t="shared" si="1"/>
        <v>50.492638015292691</v>
      </c>
      <c r="L30" s="1">
        <f t="shared" si="2"/>
        <v>21</v>
      </c>
      <c r="M30" s="5">
        <f t="shared" si="3"/>
        <v>27.541438917432377</v>
      </c>
      <c r="N30" s="5">
        <f t="shared" si="4"/>
        <v>50.492638015292691</v>
      </c>
    </row>
    <row r="31" spans="1:15" ht="15" customHeight="1" x14ac:dyDescent="0.25">
      <c r="A31" s="146">
        <f>C28</f>
        <v>1.4172680195853311</v>
      </c>
      <c r="B31" s="146">
        <f>B28</f>
        <v>-0.69314718055994529</v>
      </c>
      <c r="C31" s="147" t="s">
        <v>241</v>
      </c>
      <c r="D31">
        <f>D30/$E$27</f>
        <v>1.5834361098950998</v>
      </c>
      <c r="F31" s="1">
        <f t="shared" si="5"/>
        <v>24</v>
      </c>
      <c r="G31" s="1">
        <f t="shared" si="0"/>
        <v>24</v>
      </c>
      <c r="H31" s="65">
        <f t="shared" si="1"/>
        <v>28.437343827550926</v>
      </c>
      <c r="I31" s="65">
        <f t="shared" si="1"/>
        <v>52.135130350510032</v>
      </c>
      <c r="L31" s="1">
        <f t="shared" si="2"/>
        <v>24</v>
      </c>
      <c r="M31" s="5">
        <f t="shared" si="3"/>
        <v>28.437343827550926</v>
      </c>
      <c r="N31" s="5">
        <f t="shared" si="4"/>
        <v>52.135130350510032</v>
      </c>
    </row>
    <row r="32" spans="1:15" ht="15" customHeight="1" x14ac:dyDescent="0.25">
      <c r="C32" s="140" t="s">
        <v>242</v>
      </c>
      <c r="D32" s="155">
        <f>EXP(D31)</f>
        <v>4.8716666666666679</v>
      </c>
      <c r="E32" s="153" t="s">
        <v>96</v>
      </c>
      <c r="F32" s="1">
        <f t="shared" si="5"/>
        <v>27</v>
      </c>
      <c r="G32" s="1">
        <f t="shared" si="0"/>
        <v>27</v>
      </c>
      <c r="H32" s="65">
        <f t="shared" si="1"/>
        <v>29.251747570794556</v>
      </c>
      <c r="I32" s="65">
        <f t="shared" si="1"/>
        <v>53.628203879790021</v>
      </c>
      <c r="L32" s="1">
        <f t="shared" si="2"/>
        <v>27</v>
      </c>
      <c r="M32" s="5">
        <f t="shared" si="3"/>
        <v>29.251747570794556</v>
      </c>
      <c r="N32" s="5">
        <f t="shared" si="4"/>
        <v>53.628203879790021</v>
      </c>
    </row>
    <row r="33" spans="1:15" ht="15" customHeight="1" x14ac:dyDescent="0.25">
      <c r="A33" s="1">
        <f>A27</f>
        <v>1</v>
      </c>
      <c r="B33">
        <f>C27</f>
        <v>1.5834361098950998</v>
      </c>
      <c r="C33" s="11" t="s">
        <v>229</v>
      </c>
      <c r="D33">
        <f>MDETERM(A33:B34)</f>
        <v>-0.16616809030976865</v>
      </c>
      <c r="F33" s="1">
        <f t="shared" si="5"/>
        <v>30</v>
      </c>
      <c r="G33" s="1">
        <f t="shared" si="0"/>
        <v>30</v>
      </c>
      <c r="H33" s="65">
        <f t="shared" si="1"/>
        <v>30</v>
      </c>
      <c r="I33" s="65">
        <f t="shared" si="1"/>
        <v>55</v>
      </c>
      <c r="L33" s="1">
        <f t="shared" si="2"/>
        <v>30</v>
      </c>
      <c r="M33" s="5">
        <f t="shared" si="3"/>
        <v>30</v>
      </c>
      <c r="N33" s="5">
        <f t="shared" si="4"/>
        <v>55</v>
      </c>
    </row>
    <row r="34" spans="1:15" ht="15" customHeight="1" x14ac:dyDescent="0.25">
      <c r="A34" s="1">
        <f>A28</f>
        <v>1</v>
      </c>
      <c r="B34">
        <f>C28</f>
        <v>1.4172680195853311</v>
      </c>
      <c r="C34" s="147" t="s">
        <v>227</v>
      </c>
      <c r="D34" s="138">
        <f>D33/$E$27</f>
        <v>0.23972987984389266</v>
      </c>
      <c r="G34" s="1"/>
      <c r="H34" s="1"/>
      <c r="I34" s="65"/>
    </row>
    <row r="35" spans="1:15" ht="15" customHeight="1" x14ac:dyDescent="0.25">
      <c r="G35" s="1"/>
      <c r="H35" s="1"/>
      <c r="I35" s="65"/>
    </row>
    <row r="36" spans="1:15" ht="15" customHeight="1" x14ac:dyDescent="0.25">
      <c r="A36" s="167" t="s">
        <v>225</v>
      </c>
      <c r="B36" s="168"/>
      <c r="C36" s="168"/>
      <c r="D36" s="124" t="s">
        <v>213</v>
      </c>
      <c r="E36" s="156" t="s">
        <v>214</v>
      </c>
      <c r="F36" s="157" t="s">
        <v>215</v>
      </c>
      <c r="G36" s="157" t="s">
        <v>216</v>
      </c>
      <c r="H36" s="157" t="s">
        <v>217</v>
      </c>
      <c r="I36" s="157" t="s">
        <v>218</v>
      </c>
      <c r="J36" s="157" t="s">
        <v>219</v>
      </c>
      <c r="K36" s="157" t="s">
        <v>220</v>
      </c>
      <c r="L36" s="157" t="s">
        <v>221</v>
      </c>
      <c r="M36" s="157" t="s">
        <v>222</v>
      </c>
      <c r="N36" s="157" t="s">
        <v>223</v>
      </c>
      <c r="O36" s="158" t="s">
        <v>224</v>
      </c>
    </row>
    <row r="37" spans="1:15" ht="15" customHeight="1" x14ac:dyDescent="0.25">
      <c r="A37" s="169" t="s">
        <v>231</v>
      </c>
      <c r="B37" s="162" t="s">
        <v>235</v>
      </c>
      <c r="C37" s="24">
        <v>0</v>
      </c>
      <c r="D37" s="173"/>
      <c r="E37" s="110"/>
      <c r="F37" s="110"/>
      <c r="G37" s="110"/>
      <c r="H37" s="172"/>
      <c r="I37" s="29"/>
      <c r="J37" s="110"/>
      <c r="K37" s="110"/>
      <c r="L37" s="110"/>
      <c r="M37" s="110"/>
      <c r="N37" s="110"/>
      <c r="O37" s="166"/>
    </row>
    <row r="38" spans="1:15" ht="15" customHeight="1" x14ac:dyDescent="0.25">
      <c r="A38" s="36">
        <v>20</v>
      </c>
      <c r="B38" s="162" t="s">
        <v>234</v>
      </c>
      <c r="C38" s="160">
        <f>MAX(D38:O38)</f>
        <v>29</v>
      </c>
      <c r="D38" s="159">
        <v>22</v>
      </c>
      <c r="E38" s="160">
        <v>19.5</v>
      </c>
      <c r="F38" s="160">
        <v>23</v>
      </c>
      <c r="G38" s="160">
        <v>25</v>
      </c>
      <c r="H38" s="160">
        <v>25</v>
      </c>
      <c r="I38" s="160">
        <v>29</v>
      </c>
      <c r="J38" s="160">
        <v>23</v>
      </c>
      <c r="K38" s="160">
        <v>28.5</v>
      </c>
      <c r="L38" s="160">
        <v>22.5</v>
      </c>
      <c r="M38" s="160">
        <v>22</v>
      </c>
      <c r="N38" s="160">
        <v>20.5</v>
      </c>
      <c r="O38" s="161">
        <v>21</v>
      </c>
    </row>
    <row r="39" spans="1:15" ht="15" customHeight="1" x14ac:dyDescent="0.25">
      <c r="A39" s="36">
        <v>20</v>
      </c>
      <c r="B39" s="162" t="s">
        <v>233</v>
      </c>
      <c r="C39" s="160">
        <f>SUM(D39:O39)/12</f>
        <v>4.371666666666667</v>
      </c>
      <c r="D39" s="159">
        <v>4.51</v>
      </c>
      <c r="E39" s="160">
        <v>3.8</v>
      </c>
      <c r="F39" s="160">
        <v>4.1900000000000004</v>
      </c>
      <c r="G39" s="160">
        <v>3.85</v>
      </c>
      <c r="H39" s="160">
        <v>3.82</v>
      </c>
      <c r="I39" s="160">
        <v>4.5599999999999996</v>
      </c>
      <c r="J39" s="160">
        <v>4.92</v>
      </c>
      <c r="K39" s="160">
        <v>5.51</v>
      </c>
      <c r="L39" s="160">
        <v>4.17</v>
      </c>
      <c r="M39" s="160">
        <v>4.18</v>
      </c>
      <c r="N39" s="160">
        <v>4.38</v>
      </c>
      <c r="O39" s="161">
        <v>4.57</v>
      </c>
    </row>
    <row r="40" spans="1:15" ht="15" customHeight="1" x14ac:dyDescent="0.25">
      <c r="A40" s="38">
        <v>10</v>
      </c>
      <c r="B40" s="172" t="s">
        <v>233</v>
      </c>
      <c r="C40" s="164">
        <f>SUM(D40:O40)/12</f>
        <v>3.2841666666666671</v>
      </c>
      <c r="D40" s="163">
        <v>3.45</v>
      </c>
      <c r="E40" s="164">
        <v>2.96</v>
      </c>
      <c r="F40" s="164">
        <v>3.09</v>
      </c>
      <c r="G40" s="164">
        <v>2.8</v>
      </c>
      <c r="H40" s="164">
        <v>2.74</v>
      </c>
      <c r="I40" s="164">
        <v>3.4</v>
      </c>
      <c r="J40" s="164">
        <v>3.53</v>
      </c>
      <c r="K40" s="164">
        <v>4.03</v>
      </c>
      <c r="L40" s="164">
        <v>3.07</v>
      </c>
      <c r="M40" s="164">
        <v>3.2</v>
      </c>
      <c r="N40" s="164">
        <v>3.46</v>
      </c>
      <c r="O40" s="165">
        <v>3.68</v>
      </c>
    </row>
    <row r="42" spans="1:15" ht="15" customHeight="1" x14ac:dyDescent="0.25">
      <c r="D42" s="142"/>
    </row>
    <row r="43" spans="1:15" ht="15" customHeight="1" x14ac:dyDescent="0.25">
      <c r="D43" s="60"/>
      <c r="F43" s="150" t="s">
        <v>39</v>
      </c>
      <c r="G43" s="150" t="s">
        <v>236</v>
      </c>
      <c r="H43" s="150" t="s">
        <v>230</v>
      </c>
      <c r="I43" s="150" t="s">
        <v>230</v>
      </c>
    </row>
    <row r="44" spans="1:15" ht="15" customHeight="1" x14ac:dyDescent="0.25">
      <c r="D44" s="142"/>
      <c r="H44" s="154">
        <f>C38</f>
        <v>29</v>
      </c>
      <c r="I44" s="154">
        <f>D1</f>
        <v>55</v>
      </c>
    </row>
    <row r="45" spans="1:15" ht="15" customHeight="1" x14ac:dyDescent="0.25">
      <c r="D45" s="142"/>
      <c r="F45" s="153" t="s">
        <v>238</v>
      </c>
      <c r="G45" s="153" t="s">
        <v>239</v>
      </c>
      <c r="H45" s="153" t="s">
        <v>96</v>
      </c>
      <c r="I45" s="153" t="s">
        <v>96</v>
      </c>
    </row>
    <row r="46" spans="1:15" ht="15" customHeight="1" x14ac:dyDescent="0.25">
      <c r="A46" s="144"/>
      <c r="B46" s="144"/>
      <c r="C46" s="144"/>
      <c r="D46" s="145"/>
      <c r="E46" s="144"/>
      <c r="F46" s="143">
        <v>2</v>
      </c>
      <c r="G46" s="1">
        <f>$C$37+F46</f>
        <v>2</v>
      </c>
      <c r="H46" s="65">
        <f>H$44*($G46/$A$39)^$D$56</f>
        <v>11.213519426564636</v>
      </c>
      <c r="I46" s="65">
        <f>I$44*($G46/$A$39)^$D$56</f>
        <v>21.267019602105343</v>
      </c>
      <c r="L46" s="1">
        <f t="shared" ref="L46:L55" si="6">F46</f>
        <v>2</v>
      </c>
      <c r="M46" s="5">
        <f t="shared" ref="M46:M55" si="7">H46</f>
        <v>11.213519426564636</v>
      </c>
      <c r="N46" s="5">
        <f t="shared" ref="N46:N55" si="8">I46</f>
        <v>21.267019602105343</v>
      </c>
    </row>
    <row r="47" spans="1:15" ht="15" customHeight="1" x14ac:dyDescent="0.25">
      <c r="A47" s="144"/>
      <c r="B47" s="143"/>
      <c r="C47" s="143"/>
      <c r="D47" s="144"/>
      <c r="E47" s="1"/>
      <c r="F47" s="1">
        <f>F46+2</f>
        <v>4</v>
      </c>
      <c r="G47" s="1">
        <f t="shared" ref="G47:G55" si="9">$C$37+F47</f>
        <v>4</v>
      </c>
      <c r="H47" s="65">
        <f t="shared" ref="H47:I55" si="10">H$44*($G47/$A$39)^$D$56</f>
        <v>14.926699546246656</v>
      </c>
      <c r="I47" s="65">
        <f t="shared" si="10"/>
        <v>28.309257760122968</v>
      </c>
      <c r="L47" s="1">
        <f t="shared" si="6"/>
        <v>4</v>
      </c>
      <c r="M47" s="5">
        <f t="shared" si="7"/>
        <v>14.926699546246656</v>
      </c>
      <c r="N47" s="5">
        <f t="shared" si="8"/>
        <v>28.309257760122968</v>
      </c>
    </row>
    <row r="48" spans="1:15" ht="15" customHeight="1" x14ac:dyDescent="0.25">
      <c r="A48" s="143"/>
      <c r="B48" s="143"/>
      <c r="C48" s="143"/>
      <c r="E48" s="144"/>
      <c r="F48" s="1">
        <f t="shared" ref="F48:F55" si="11">F47+2</f>
        <v>6</v>
      </c>
      <c r="G48" s="1">
        <f t="shared" si="9"/>
        <v>6</v>
      </c>
      <c r="H48" s="65">
        <f t="shared" si="10"/>
        <v>17.645294697495967</v>
      </c>
      <c r="I48" s="65">
        <f t="shared" si="10"/>
        <v>33.465214081457873</v>
      </c>
      <c r="L48" s="1">
        <f t="shared" si="6"/>
        <v>6</v>
      </c>
      <c r="M48" s="5">
        <f t="shared" si="7"/>
        <v>17.645294697495967</v>
      </c>
      <c r="N48" s="5">
        <f t="shared" si="8"/>
        <v>33.465214081457873</v>
      </c>
    </row>
    <row r="49" spans="1:14" ht="15" customHeight="1" x14ac:dyDescent="0.25">
      <c r="A49" s="148">
        <v>1</v>
      </c>
      <c r="B49">
        <f>LN(A39/$A$39)</f>
        <v>0</v>
      </c>
      <c r="C49" s="144">
        <f>LN(C39)</f>
        <v>1.4751443246507274</v>
      </c>
      <c r="D49" s="1" t="s">
        <v>226</v>
      </c>
      <c r="E49">
        <f>MDETERM(A49:B50)</f>
        <v>-0.69314718055994529</v>
      </c>
      <c r="F49" s="1">
        <f t="shared" si="11"/>
        <v>8</v>
      </c>
      <c r="G49" s="1">
        <f t="shared" si="9"/>
        <v>8</v>
      </c>
      <c r="H49" s="65">
        <f t="shared" si="10"/>
        <v>19.869440705305749</v>
      </c>
      <c r="I49" s="65">
        <f t="shared" si="10"/>
        <v>37.683422027304005</v>
      </c>
      <c r="L49" s="1">
        <f t="shared" si="6"/>
        <v>8</v>
      </c>
      <c r="M49" s="5">
        <f t="shared" si="7"/>
        <v>19.869440705305749</v>
      </c>
      <c r="N49" s="5">
        <f t="shared" si="8"/>
        <v>37.683422027304005</v>
      </c>
    </row>
    <row r="50" spans="1:14" ht="15" customHeight="1" x14ac:dyDescent="0.25">
      <c r="A50" s="148">
        <v>1</v>
      </c>
      <c r="B50">
        <f>LN(A40/$A$39)</f>
        <v>-0.69314718055994529</v>
      </c>
      <c r="C50" s="144">
        <f>LN(C40)</f>
        <v>1.1891129414189121</v>
      </c>
      <c r="D50" s="11"/>
      <c r="F50" s="1">
        <f t="shared" si="11"/>
        <v>10</v>
      </c>
      <c r="G50" s="1">
        <f t="shared" si="9"/>
        <v>10</v>
      </c>
      <c r="H50" s="65">
        <f t="shared" si="10"/>
        <v>21.785932138772399</v>
      </c>
      <c r="I50" s="65">
        <f t="shared" si="10"/>
        <v>41.318147159740754</v>
      </c>
      <c r="L50" s="1">
        <f t="shared" si="6"/>
        <v>10</v>
      </c>
      <c r="M50" s="5">
        <f t="shared" si="7"/>
        <v>21.785932138772399</v>
      </c>
      <c r="N50" s="5">
        <f t="shared" si="8"/>
        <v>41.318147159740754</v>
      </c>
    </row>
    <row r="51" spans="1:14" ht="15" customHeight="1" x14ac:dyDescent="0.25">
      <c r="F51" s="1">
        <f t="shared" si="11"/>
        <v>12</v>
      </c>
      <c r="G51" s="1">
        <f t="shared" si="9"/>
        <v>12</v>
      </c>
      <c r="H51" s="65">
        <f t="shared" si="10"/>
        <v>23.488255768349113</v>
      </c>
      <c r="I51" s="65">
        <f t="shared" si="10"/>
        <v>44.546691974455214</v>
      </c>
      <c r="L51" s="1">
        <f t="shared" si="6"/>
        <v>12</v>
      </c>
      <c r="M51" s="5">
        <f t="shared" si="7"/>
        <v>23.488255768349113</v>
      </c>
      <c r="N51" s="5">
        <f t="shared" si="8"/>
        <v>44.546691974455214</v>
      </c>
    </row>
    <row r="52" spans="1:14" ht="15" customHeight="1" x14ac:dyDescent="0.25">
      <c r="A52" s="146">
        <f>C49</f>
        <v>1.4751443246507274</v>
      </c>
      <c r="B52" s="146">
        <f>B49</f>
        <v>0</v>
      </c>
      <c r="C52" s="11" t="s">
        <v>228</v>
      </c>
      <c r="D52">
        <f>MDETERM(A52:B53)</f>
        <v>-1.0224921295506564</v>
      </c>
      <c r="F52" s="1">
        <f t="shared" si="11"/>
        <v>14</v>
      </c>
      <c r="G52" s="1">
        <f t="shared" si="9"/>
        <v>14</v>
      </c>
      <c r="H52" s="65">
        <f t="shared" si="10"/>
        <v>25.030917319861047</v>
      </c>
      <c r="I52" s="65">
        <f t="shared" si="10"/>
        <v>47.47242939973647</v>
      </c>
      <c r="L52" s="1">
        <f t="shared" si="6"/>
        <v>14</v>
      </c>
      <c r="M52" s="5">
        <f t="shared" si="7"/>
        <v>25.030917319861047</v>
      </c>
      <c r="N52" s="5">
        <f t="shared" si="8"/>
        <v>47.47242939973647</v>
      </c>
    </row>
    <row r="53" spans="1:14" ht="15" customHeight="1" x14ac:dyDescent="0.25">
      <c r="A53" s="146">
        <f>C50</f>
        <v>1.1891129414189121</v>
      </c>
      <c r="B53" s="146">
        <f>B50</f>
        <v>-0.69314718055994529</v>
      </c>
      <c r="C53" s="147" t="s">
        <v>241</v>
      </c>
      <c r="D53">
        <f>D52/$E$49</f>
        <v>1.4751443246507274</v>
      </c>
      <c r="F53" s="1">
        <f t="shared" si="11"/>
        <v>16</v>
      </c>
      <c r="G53" s="1">
        <f t="shared" si="9"/>
        <v>16</v>
      </c>
      <c r="H53" s="65">
        <f t="shared" si="10"/>
        <v>26.448892651619882</v>
      </c>
      <c r="I53" s="65">
        <f t="shared" si="10"/>
        <v>50.16169295996874</v>
      </c>
      <c r="L53" s="1">
        <f t="shared" si="6"/>
        <v>16</v>
      </c>
      <c r="M53" s="5">
        <f t="shared" si="7"/>
        <v>26.448892651619882</v>
      </c>
      <c r="N53" s="5">
        <f t="shared" si="8"/>
        <v>50.16169295996874</v>
      </c>
    </row>
    <row r="54" spans="1:14" ht="15" customHeight="1" x14ac:dyDescent="0.25">
      <c r="C54" s="140" t="s">
        <v>242</v>
      </c>
      <c r="D54" s="155">
        <f>EXP(D53)</f>
        <v>4.371666666666667</v>
      </c>
      <c r="E54" s="153" t="s">
        <v>96</v>
      </c>
      <c r="F54" s="1">
        <f t="shared" si="11"/>
        <v>18</v>
      </c>
      <c r="G54" s="1">
        <f t="shared" si="9"/>
        <v>18</v>
      </c>
      <c r="H54" s="65">
        <f t="shared" si="10"/>
        <v>27.766164494608301</v>
      </c>
      <c r="I54" s="65">
        <f t="shared" si="10"/>
        <v>52.659967144946776</v>
      </c>
      <c r="L54" s="1">
        <f t="shared" si="6"/>
        <v>18</v>
      </c>
      <c r="M54" s="5">
        <f t="shared" si="7"/>
        <v>27.766164494608301</v>
      </c>
      <c r="N54" s="5">
        <f t="shared" si="8"/>
        <v>52.659967144946776</v>
      </c>
    </row>
    <row r="55" spans="1:14" ht="15" customHeight="1" x14ac:dyDescent="0.25">
      <c r="A55" s="1">
        <f>A49</f>
        <v>1</v>
      </c>
      <c r="B55">
        <f>C49</f>
        <v>1.4751443246507274</v>
      </c>
      <c r="C55" s="11" t="s">
        <v>229</v>
      </c>
      <c r="D55">
        <f>MDETERM(A55:B56)</f>
        <v>-0.28603138323181532</v>
      </c>
      <c r="F55" s="1">
        <f t="shared" si="11"/>
        <v>20</v>
      </c>
      <c r="G55" s="1">
        <f t="shared" si="9"/>
        <v>20</v>
      </c>
      <c r="H55" s="65">
        <f t="shared" si="10"/>
        <v>29</v>
      </c>
      <c r="I55" s="65">
        <f t="shared" si="10"/>
        <v>55</v>
      </c>
      <c r="L55" s="1">
        <f t="shared" si="6"/>
        <v>20</v>
      </c>
      <c r="M55" s="5">
        <f t="shared" si="7"/>
        <v>29</v>
      </c>
      <c r="N55" s="5">
        <f t="shared" si="8"/>
        <v>55</v>
      </c>
    </row>
    <row r="56" spans="1:14" ht="15" customHeight="1" x14ac:dyDescent="0.25">
      <c r="A56" s="1">
        <f>A50</f>
        <v>1</v>
      </c>
      <c r="B56">
        <f>C50</f>
        <v>1.1891129414189121</v>
      </c>
      <c r="C56" s="147" t="s">
        <v>227</v>
      </c>
      <c r="D56" s="138">
        <f>D55/$E$49</f>
        <v>0.41265605812715056</v>
      </c>
      <c r="G56" s="1"/>
      <c r="H56" s="1"/>
      <c r="I56" s="65"/>
    </row>
  </sheetData>
  <conditionalFormatting sqref="D38:O40 D2 D16:O18">
    <cfRule type="cellIs" dxfId="9" priority="24" operator="equal">
      <formula>$C$38</formula>
    </cfRule>
  </conditionalFormatting>
  <conditionalFormatting sqref="D16:O16 D2">
    <cfRule type="cellIs" dxfId="8" priority="32" operator="equal">
      <formula>$C$16</formula>
    </cfRule>
    <cfRule type="cellIs" dxfId="7" priority="33" operator="equal">
      <formula>$C$38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7194" r:id="rId4">
          <objectPr defaultSize="0" autoPict="0" r:id="rId5">
            <anchor moveWithCells="1">
              <from>
                <xdr:col>0</xdr:col>
                <xdr:colOff>685800</xdr:colOff>
                <xdr:row>6</xdr:row>
                <xdr:rowOff>38100</xdr:rowOff>
              </from>
              <to>
                <xdr:col>2</xdr:col>
                <xdr:colOff>742950</xdr:colOff>
                <xdr:row>8</xdr:row>
                <xdr:rowOff>142875</xdr:rowOff>
              </to>
            </anchor>
          </objectPr>
        </oleObject>
      </mc:Choice>
      <mc:Fallback>
        <oleObject progId="Equation.3" shapeId="7194" r:id="rId4"/>
      </mc:Fallback>
    </mc:AlternateContent>
    <mc:AlternateContent xmlns:mc="http://schemas.openxmlformats.org/markup-compatibility/2006">
      <mc:Choice Requires="x14">
        <oleObject progId="Equation.3" shapeId="7197" r:id="rId6">
          <objectPr defaultSize="0" r:id="rId7">
            <anchor moveWithCells="1">
              <from>
                <xdr:col>5</xdr:col>
                <xdr:colOff>161925</xdr:colOff>
                <xdr:row>0</xdr:row>
                <xdr:rowOff>180975</xdr:rowOff>
              </from>
              <to>
                <xdr:col>8</xdr:col>
                <xdr:colOff>38100</xdr:colOff>
                <xdr:row>3</xdr:row>
                <xdr:rowOff>0</xdr:rowOff>
              </to>
            </anchor>
          </objectPr>
        </oleObject>
      </mc:Choice>
      <mc:Fallback>
        <oleObject progId="Equation.3" shapeId="7197" r:id="rId6"/>
      </mc:Fallback>
    </mc:AlternateContent>
    <mc:AlternateContent xmlns:mc="http://schemas.openxmlformats.org/markup-compatibility/2006">
      <mc:Choice Requires="x14">
        <oleObject progId="Equation.3" shapeId="7199" r:id="rId8">
          <objectPr defaultSize="0" r:id="rId9">
            <anchor moveWithCells="1">
              <from>
                <xdr:col>5</xdr:col>
                <xdr:colOff>466725</xdr:colOff>
                <xdr:row>3</xdr:row>
                <xdr:rowOff>180975</xdr:rowOff>
              </from>
              <to>
                <xdr:col>7</xdr:col>
                <xdr:colOff>352425</xdr:colOff>
                <xdr:row>6</xdr:row>
                <xdr:rowOff>0</xdr:rowOff>
              </to>
            </anchor>
          </objectPr>
        </oleObject>
      </mc:Choice>
      <mc:Fallback>
        <oleObject progId="Equation.3" shapeId="7199" r:id="rId8"/>
      </mc:Fallback>
    </mc:AlternateContent>
    <mc:AlternateContent xmlns:mc="http://schemas.openxmlformats.org/markup-compatibility/2006">
      <mc:Choice Requires="x14">
        <oleObject progId="Equation.3" shapeId="7201" r:id="rId10">
          <objectPr defaultSize="0" autoPict="0" r:id="rId11">
            <anchor moveWithCells="1">
              <from>
                <xdr:col>0</xdr:col>
                <xdr:colOff>190500</xdr:colOff>
                <xdr:row>19</xdr:row>
                <xdr:rowOff>104775</xdr:rowOff>
              </from>
              <to>
                <xdr:col>2</xdr:col>
                <xdr:colOff>228600</xdr:colOff>
                <xdr:row>22</xdr:row>
                <xdr:rowOff>95250</xdr:rowOff>
              </to>
            </anchor>
          </objectPr>
        </oleObject>
      </mc:Choice>
      <mc:Fallback>
        <oleObject progId="Equation.3" shapeId="7201" r:id="rId10"/>
      </mc:Fallback>
    </mc:AlternateContent>
    <mc:AlternateContent xmlns:mc="http://schemas.openxmlformats.org/markup-compatibility/2006">
      <mc:Choice Requires="x14">
        <oleObject progId="Equation.3" shapeId="7210" r:id="rId12">
          <objectPr defaultSize="0" autoPict="0" r:id="rId13">
            <anchor moveWithCells="1">
              <from>
                <xdr:col>0</xdr:col>
                <xdr:colOff>171450</xdr:colOff>
                <xdr:row>22</xdr:row>
                <xdr:rowOff>142875</xdr:rowOff>
              </from>
              <to>
                <xdr:col>2</xdr:col>
                <xdr:colOff>542925</xdr:colOff>
                <xdr:row>25</xdr:row>
                <xdr:rowOff>76200</xdr:rowOff>
              </to>
            </anchor>
          </objectPr>
        </oleObject>
      </mc:Choice>
      <mc:Fallback>
        <oleObject progId="Equation.3" shapeId="7210" r:id="rId12"/>
      </mc:Fallback>
    </mc:AlternateContent>
    <mc:AlternateContent xmlns:mc="http://schemas.openxmlformats.org/markup-compatibility/2006">
      <mc:Choice Requires="x14">
        <oleObject progId="Equation.3" shapeId="7211" r:id="rId14">
          <objectPr defaultSize="0" autoPict="0" r:id="rId15">
            <anchor moveWithCells="1">
              <from>
                <xdr:col>5</xdr:col>
                <xdr:colOff>409575</xdr:colOff>
                <xdr:row>7</xdr:row>
                <xdr:rowOff>47625</xdr:rowOff>
              </from>
              <to>
                <xdr:col>7</xdr:col>
                <xdr:colOff>38100</xdr:colOff>
                <xdr:row>9</xdr:row>
                <xdr:rowOff>133350</xdr:rowOff>
              </to>
            </anchor>
          </objectPr>
        </oleObject>
      </mc:Choice>
      <mc:Fallback>
        <oleObject progId="Equation.3" shapeId="7211" r:id="rId14"/>
      </mc:Fallback>
    </mc:AlternateContent>
    <mc:AlternateContent xmlns:mc="http://schemas.openxmlformats.org/markup-compatibility/2006">
      <mc:Choice Requires="x14">
        <oleObject progId="Equation.3" shapeId="7212" r:id="rId16">
          <objectPr defaultSize="0" autoPict="0" r:id="rId11">
            <anchor moveWithCells="1">
              <from>
                <xdr:col>0</xdr:col>
                <xdr:colOff>190500</xdr:colOff>
                <xdr:row>41</xdr:row>
                <xdr:rowOff>104775</xdr:rowOff>
              </from>
              <to>
                <xdr:col>2</xdr:col>
                <xdr:colOff>228600</xdr:colOff>
                <xdr:row>44</xdr:row>
                <xdr:rowOff>95250</xdr:rowOff>
              </to>
            </anchor>
          </objectPr>
        </oleObject>
      </mc:Choice>
      <mc:Fallback>
        <oleObject progId="Equation.3" shapeId="7212" r:id="rId16"/>
      </mc:Fallback>
    </mc:AlternateContent>
    <mc:AlternateContent xmlns:mc="http://schemas.openxmlformats.org/markup-compatibility/2006">
      <mc:Choice Requires="x14">
        <oleObject progId="Equation.3" shapeId="7213" r:id="rId17">
          <objectPr defaultSize="0" autoPict="0" r:id="rId13">
            <anchor moveWithCells="1">
              <from>
                <xdr:col>0</xdr:col>
                <xdr:colOff>171450</xdr:colOff>
                <xdr:row>44</xdr:row>
                <xdr:rowOff>142875</xdr:rowOff>
              </from>
              <to>
                <xdr:col>2</xdr:col>
                <xdr:colOff>542925</xdr:colOff>
                <xdr:row>47</xdr:row>
                <xdr:rowOff>76200</xdr:rowOff>
              </to>
            </anchor>
          </objectPr>
        </oleObject>
      </mc:Choice>
      <mc:Fallback>
        <oleObject progId="Equation.3" shapeId="7213" r:id="rId17"/>
      </mc:Fallback>
    </mc:AlternateContent>
    <mc:AlternateContent xmlns:mc="http://schemas.openxmlformats.org/markup-compatibility/2006">
      <mc:Choice Requires="x14">
        <oleObject progId="Equation.3" shapeId="7214" r:id="rId18">
          <objectPr defaultSize="0" r:id="rId19">
            <anchor moveWithCells="1">
              <from>
                <xdr:col>16</xdr:col>
                <xdr:colOff>714375</xdr:colOff>
                <xdr:row>4</xdr:row>
                <xdr:rowOff>142875</xdr:rowOff>
              </from>
              <to>
                <xdr:col>19</xdr:col>
                <xdr:colOff>76200</xdr:colOff>
                <xdr:row>7</xdr:row>
                <xdr:rowOff>133350</xdr:rowOff>
              </to>
            </anchor>
          </objectPr>
        </oleObject>
      </mc:Choice>
      <mc:Fallback>
        <oleObject progId="Equation.3" shapeId="7214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83"/>
  <sheetViews>
    <sheetView zoomScale="70" zoomScaleNormal="70" workbookViewId="0">
      <selection activeCell="I19" sqref="I19"/>
    </sheetView>
  </sheetViews>
  <sheetFormatPr baseColWidth="10" defaultRowHeight="15" customHeight="1" x14ac:dyDescent="0.25"/>
  <cols>
    <col min="14" max="14" width="12.7109375" bestFit="1" customWidth="1"/>
  </cols>
  <sheetData>
    <row r="1" spans="1:15" ht="15" customHeight="1" x14ac:dyDescent="0.25">
      <c r="A1" s="318" t="s">
        <v>243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15" ht="15" customHeight="1" x14ac:dyDescent="0.25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9" spans="1:15" ht="15" customHeight="1" x14ac:dyDescent="0.25">
      <c r="A9" s="151" t="s">
        <v>194</v>
      </c>
      <c r="C9" s="60" t="s">
        <v>240</v>
      </c>
      <c r="D9" s="1">
        <v>55</v>
      </c>
      <c r="E9" s="13" t="s">
        <v>196</v>
      </c>
      <c r="J9" s="75" t="s">
        <v>201</v>
      </c>
    </row>
    <row r="10" spans="1:15" ht="15" customHeight="1" x14ac:dyDescent="0.25">
      <c r="C10" s="60" t="s">
        <v>237</v>
      </c>
      <c r="D10" s="152">
        <v>16</v>
      </c>
      <c r="E10" s="100" t="s">
        <v>130</v>
      </c>
      <c r="L10" s="11" t="s">
        <v>208</v>
      </c>
      <c r="M10" s="60" t="s">
        <v>190</v>
      </c>
      <c r="N10" s="65">
        <f>2*14</f>
        <v>28</v>
      </c>
      <c r="O10" s="13" t="s">
        <v>44</v>
      </c>
    </row>
    <row r="11" spans="1:15" ht="15" customHeight="1" x14ac:dyDescent="0.25">
      <c r="C11" s="141" t="s">
        <v>207</v>
      </c>
      <c r="D11" s="99">
        <v>92</v>
      </c>
      <c r="E11" s="85" t="s">
        <v>131</v>
      </c>
      <c r="L11" s="11" t="s">
        <v>209</v>
      </c>
      <c r="M11" s="60" t="s">
        <v>191</v>
      </c>
      <c r="N11" s="65">
        <f>2*16</f>
        <v>32</v>
      </c>
      <c r="O11" s="13" t="s">
        <v>44</v>
      </c>
    </row>
    <row r="12" spans="1:15" ht="15" customHeight="1" x14ac:dyDescent="0.25">
      <c r="C12" s="60" t="s">
        <v>197</v>
      </c>
      <c r="D12" s="1">
        <v>3.5</v>
      </c>
      <c r="E12" s="13" t="s">
        <v>195</v>
      </c>
      <c r="M12" s="60" t="s">
        <v>210</v>
      </c>
      <c r="N12" s="65">
        <f>0.78*N10+0.22*N11</f>
        <v>28.88</v>
      </c>
      <c r="O12" s="13" t="s">
        <v>44</v>
      </c>
    </row>
    <row r="13" spans="1:15" ht="15" customHeight="1" x14ac:dyDescent="0.25">
      <c r="C13" s="60" t="s">
        <v>198</v>
      </c>
      <c r="D13" s="1">
        <v>12</v>
      </c>
      <c r="E13" s="13" t="s">
        <v>196</v>
      </c>
      <c r="M13" s="60" t="s">
        <v>192</v>
      </c>
      <c r="N13" s="1">
        <v>22.4</v>
      </c>
      <c r="O13" s="13" t="s">
        <v>193</v>
      </c>
    </row>
    <row r="14" spans="1:15" ht="15" customHeight="1" x14ac:dyDescent="0.25">
      <c r="C14" s="101" t="s">
        <v>203</v>
      </c>
      <c r="D14" s="99">
        <v>4.0999999999999996</v>
      </c>
      <c r="E14" s="100" t="s">
        <v>130</v>
      </c>
      <c r="H14" s="5">
        <f>D19*1000/D13</f>
        <v>317.02898550724638</v>
      </c>
      <c r="I14" s="13" t="s">
        <v>212</v>
      </c>
      <c r="M14" s="60" t="s">
        <v>205</v>
      </c>
      <c r="N14" s="138">
        <f>N12/N13</f>
        <v>1.2892857142857144</v>
      </c>
      <c r="O14" s="13" t="s">
        <v>202</v>
      </c>
    </row>
    <row r="16" spans="1:15" ht="15" customHeight="1" x14ac:dyDescent="0.25">
      <c r="C16" s="96"/>
      <c r="D16" s="10">
        <f>(2*D12*1000)/((D11/100)*N16*N14*D13^3)</f>
        <v>5.764066057458054</v>
      </c>
      <c r="E16" s="100" t="s">
        <v>199</v>
      </c>
      <c r="H16" s="14"/>
      <c r="L16" s="11" t="s">
        <v>204</v>
      </c>
      <c r="M16" s="141" t="s">
        <v>206</v>
      </c>
      <c r="N16" s="1">
        <v>0.59250000000000003</v>
      </c>
    </row>
    <row r="17" spans="1:15" ht="15" customHeight="1" x14ac:dyDescent="0.25">
      <c r="H17" s="5">
        <f>H14*(M69/D13)^2</f>
        <v>5539.6311657958568</v>
      </c>
      <c r="I17" s="13" t="s">
        <v>212</v>
      </c>
    </row>
    <row r="18" spans="1:15" ht="15" customHeight="1" x14ac:dyDescent="0.25">
      <c r="C18" s="101" t="s">
        <v>200</v>
      </c>
      <c r="D18" s="139">
        <f>(D16*(4/PI()))^0.5</f>
        <v>2.7090656770963117</v>
      </c>
      <c r="E18" s="100" t="s">
        <v>130</v>
      </c>
    </row>
    <row r="19" spans="1:15" ht="15" customHeight="1" x14ac:dyDescent="0.25">
      <c r="C19" s="60" t="s">
        <v>211</v>
      </c>
      <c r="D19" s="138">
        <f>D12/(D11/100)</f>
        <v>3.8043478260869565</v>
      </c>
      <c r="E19" s="13" t="s">
        <v>195</v>
      </c>
    </row>
    <row r="21" spans="1:15" ht="15" customHeight="1" x14ac:dyDescent="0.25">
      <c r="A21" s="167" t="s">
        <v>232</v>
      </c>
      <c r="B21" s="176"/>
      <c r="C21" s="177"/>
      <c r="D21" s="124" t="s">
        <v>213</v>
      </c>
      <c r="E21" s="156" t="s">
        <v>214</v>
      </c>
      <c r="F21" s="157" t="s">
        <v>215</v>
      </c>
      <c r="G21" s="157" t="s">
        <v>216</v>
      </c>
      <c r="H21" s="157" t="s">
        <v>217</v>
      </c>
      <c r="I21" s="157" t="s">
        <v>218</v>
      </c>
      <c r="J21" s="157" t="s">
        <v>219</v>
      </c>
      <c r="K21" s="157" t="s">
        <v>220</v>
      </c>
      <c r="L21" s="157" t="s">
        <v>221</v>
      </c>
      <c r="M21" s="157" t="s">
        <v>222</v>
      </c>
      <c r="N21" s="157" t="s">
        <v>223</v>
      </c>
      <c r="O21" s="158" t="s">
        <v>224</v>
      </c>
    </row>
    <row r="22" spans="1:15" ht="15" customHeight="1" x14ac:dyDescent="0.25">
      <c r="A22" s="169" t="s">
        <v>231</v>
      </c>
      <c r="B22" s="162" t="s">
        <v>235</v>
      </c>
      <c r="C22" s="37">
        <v>0</v>
      </c>
      <c r="D22" s="173"/>
      <c r="E22" s="110"/>
      <c r="F22" s="110"/>
      <c r="G22" s="110"/>
      <c r="H22" s="172"/>
      <c r="I22" s="29"/>
      <c r="J22" s="110"/>
      <c r="K22" s="110"/>
      <c r="L22" s="110"/>
      <c r="M22" s="110"/>
      <c r="N22" s="110"/>
      <c r="O22" s="166"/>
    </row>
    <row r="23" spans="1:15" ht="15" customHeight="1" x14ac:dyDescent="0.25">
      <c r="A23" s="36">
        <v>30</v>
      </c>
      <c r="B23" s="162" t="s">
        <v>234</v>
      </c>
      <c r="C23" s="161">
        <f>MAX(D23:O23)</f>
        <v>30</v>
      </c>
      <c r="D23" s="159">
        <v>22</v>
      </c>
      <c r="E23" s="160">
        <v>18</v>
      </c>
      <c r="F23" s="160">
        <v>23</v>
      </c>
      <c r="G23" s="160">
        <v>25</v>
      </c>
      <c r="H23" s="160">
        <v>27</v>
      </c>
      <c r="I23" s="160">
        <v>30</v>
      </c>
      <c r="J23" s="160">
        <v>23.5</v>
      </c>
      <c r="K23" s="160">
        <v>29.75</v>
      </c>
      <c r="L23" s="160">
        <v>23</v>
      </c>
      <c r="M23" s="160">
        <v>20</v>
      </c>
      <c r="N23" s="160">
        <v>20</v>
      </c>
      <c r="O23" s="161">
        <v>18</v>
      </c>
    </row>
    <row r="24" spans="1:15" ht="15" customHeight="1" x14ac:dyDescent="0.25">
      <c r="A24" s="36">
        <v>30</v>
      </c>
      <c r="B24" s="162" t="s">
        <v>233</v>
      </c>
      <c r="C24" s="161">
        <f>SUM(D24:O24)/12</f>
        <v>4.871666666666667</v>
      </c>
      <c r="D24" s="159">
        <v>4.9400000000000004</v>
      </c>
      <c r="E24" s="160">
        <v>4.29</v>
      </c>
      <c r="F24" s="160">
        <v>4.33</v>
      </c>
      <c r="G24" s="160">
        <v>4.49</v>
      </c>
      <c r="H24" s="160">
        <v>4.25</v>
      </c>
      <c r="I24" s="160">
        <v>5.3</v>
      </c>
      <c r="J24" s="160">
        <v>5.39</v>
      </c>
      <c r="K24" s="160">
        <v>6.13</v>
      </c>
      <c r="L24" s="160">
        <v>4.68</v>
      </c>
      <c r="M24" s="160">
        <v>4.6900000000000004</v>
      </c>
      <c r="N24" s="160">
        <v>4.9000000000000004</v>
      </c>
      <c r="O24" s="161">
        <v>5.07</v>
      </c>
    </row>
    <row r="25" spans="1:15" ht="15" customHeight="1" x14ac:dyDescent="0.25">
      <c r="A25" s="38">
        <v>15</v>
      </c>
      <c r="B25" s="172" t="s">
        <v>233</v>
      </c>
      <c r="C25" s="165">
        <f>SUM(D25:O25)/12</f>
        <v>4.1258333333333326</v>
      </c>
      <c r="D25" s="163">
        <v>4.38</v>
      </c>
      <c r="E25" s="164">
        <v>3.73</v>
      </c>
      <c r="F25" s="164">
        <v>4.5599999999999996</v>
      </c>
      <c r="G25" s="164">
        <v>3.6</v>
      </c>
      <c r="H25" s="164">
        <v>3.49</v>
      </c>
      <c r="I25" s="164">
        <v>4.25</v>
      </c>
      <c r="J25" s="164">
        <v>4.5599999999999996</v>
      </c>
      <c r="K25" s="164">
        <v>5.0999999999999996</v>
      </c>
      <c r="L25" s="164">
        <v>3.76</v>
      </c>
      <c r="M25" s="164">
        <v>3.88</v>
      </c>
      <c r="N25" s="164">
        <v>4.05</v>
      </c>
      <c r="O25" s="165">
        <v>4.1500000000000004</v>
      </c>
    </row>
    <row r="26" spans="1:15" ht="15" customHeight="1" x14ac:dyDescent="0.25">
      <c r="A26" s="167" t="s">
        <v>225</v>
      </c>
      <c r="B26" s="168"/>
      <c r="C26" s="168"/>
      <c r="D26" s="124" t="s">
        <v>213</v>
      </c>
      <c r="E26" s="156" t="s">
        <v>214</v>
      </c>
      <c r="F26" s="157" t="s">
        <v>215</v>
      </c>
      <c r="G26" s="157" t="s">
        <v>216</v>
      </c>
      <c r="H26" s="157" t="s">
        <v>217</v>
      </c>
      <c r="I26" s="157" t="s">
        <v>218</v>
      </c>
      <c r="J26" s="157" t="s">
        <v>219</v>
      </c>
      <c r="K26" s="157" t="s">
        <v>220</v>
      </c>
      <c r="L26" s="157" t="s">
        <v>221</v>
      </c>
      <c r="M26" s="157" t="s">
        <v>222</v>
      </c>
      <c r="N26" s="157" t="s">
        <v>223</v>
      </c>
      <c r="O26" s="158" t="s">
        <v>224</v>
      </c>
    </row>
    <row r="27" spans="1:15" ht="15" customHeight="1" x14ac:dyDescent="0.25">
      <c r="A27" s="169" t="s">
        <v>231</v>
      </c>
      <c r="B27" s="162" t="s">
        <v>235</v>
      </c>
      <c r="C27" s="24">
        <v>0</v>
      </c>
      <c r="D27" s="173"/>
      <c r="E27" s="110"/>
      <c r="F27" s="110"/>
      <c r="G27" s="110"/>
      <c r="H27" s="172"/>
      <c r="I27" s="29"/>
      <c r="J27" s="110"/>
      <c r="K27" s="110"/>
      <c r="L27" s="110"/>
      <c r="M27" s="110"/>
      <c r="N27" s="110"/>
      <c r="O27" s="166"/>
    </row>
    <row r="28" spans="1:15" ht="15" customHeight="1" x14ac:dyDescent="0.25">
      <c r="A28" s="36">
        <v>20</v>
      </c>
      <c r="B28" s="162" t="s">
        <v>234</v>
      </c>
      <c r="C28" s="160">
        <f>MAX(D28:O28)</f>
        <v>29</v>
      </c>
      <c r="D28" s="159">
        <v>22</v>
      </c>
      <c r="E28" s="160">
        <v>19.5</v>
      </c>
      <c r="F28" s="160">
        <v>23</v>
      </c>
      <c r="G28" s="160">
        <v>25</v>
      </c>
      <c r="H28" s="160">
        <v>25</v>
      </c>
      <c r="I28" s="160">
        <v>29</v>
      </c>
      <c r="J28" s="160">
        <v>23</v>
      </c>
      <c r="K28" s="160">
        <v>28.5</v>
      </c>
      <c r="L28" s="160">
        <v>22.5</v>
      </c>
      <c r="M28" s="160">
        <v>22</v>
      </c>
      <c r="N28" s="160">
        <v>20.5</v>
      </c>
      <c r="O28" s="161">
        <v>21</v>
      </c>
    </row>
    <row r="29" spans="1:15" ht="15" customHeight="1" x14ac:dyDescent="0.25">
      <c r="A29" s="36">
        <v>20</v>
      </c>
      <c r="B29" s="162" t="s">
        <v>233</v>
      </c>
      <c r="C29" s="160">
        <f>SUM(D29:O29)/12</f>
        <v>4.371666666666667</v>
      </c>
      <c r="D29" s="159">
        <v>4.51</v>
      </c>
      <c r="E29" s="160">
        <v>3.8</v>
      </c>
      <c r="F29" s="160">
        <v>4.1900000000000004</v>
      </c>
      <c r="G29" s="160">
        <v>3.85</v>
      </c>
      <c r="H29" s="160">
        <v>3.82</v>
      </c>
      <c r="I29" s="160">
        <v>4.5599999999999996</v>
      </c>
      <c r="J29" s="160">
        <v>4.92</v>
      </c>
      <c r="K29" s="160">
        <v>5.51</v>
      </c>
      <c r="L29" s="160">
        <v>4.17</v>
      </c>
      <c r="M29" s="160">
        <v>4.18</v>
      </c>
      <c r="N29" s="160">
        <v>4.38</v>
      </c>
      <c r="O29" s="161">
        <v>4.57</v>
      </c>
    </row>
    <row r="30" spans="1:15" ht="15" customHeight="1" x14ac:dyDescent="0.25">
      <c r="A30" s="38">
        <v>10</v>
      </c>
      <c r="B30" s="172" t="s">
        <v>233</v>
      </c>
      <c r="C30" s="164">
        <f>SUM(D30:O30)/12</f>
        <v>3.2841666666666671</v>
      </c>
      <c r="D30" s="163">
        <v>3.45</v>
      </c>
      <c r="E30" s="164">
        <v>2.96</v>
      </c>
      <c r="F30" s="164">
        <v>3.09</v>
      </c>
      <c r="G30" s="164">
        <v>2.8</v>
      </c>
      <c r="H30" s="164">
        <v>2.74</v>
      </c>
      <c r="I30" s="164">
        <v>3.4</v>
      </c>
      <c r="J30" s="164">
        <v>3.53</v>
      </c>
      <c r="K30" s="164">
        <v>4.03</v>
      </c>
      <c r="L30" s="164">
        <v>3.07</v>
      </c>
      <c r="M30" s="164">
        <v>3.2</v>
      </c>
      <c r="N30" s="164">
        <v>3.46</v>
      </c>
      <c r="O30" s="165">
        <v>3.68</v>
      </c>
    </row>
    <row r="43" spans="1:13" ht="15" customHeight="1" x14ac:dyDescent="0.25">
      <c r="I43" s="148">
        <v>1</v>
      </c>
      <c r="J43">
        <f>LN(A29/$A$29)</f>
        <v>0</v>
      </c>
      <c r="K43" s="144">
        <f>LN(C29)</f>
        <v>1.4751443246507274</v>
      </c>
      <c r="L43" s="1" t="s">
        <v>226</v>
      </c>
      <c r="M43">
        <f>MDETERM(I43:J44)</f>
        <v>-0.69314718055994529</v>
      </c>
    </row>
    <row r="44" spans="1:13" ht="15" customHeight="1" x14ac:dyDescent="0.25">
      <c r="A44" s="148">
        <v>1</v>
      </c>
      <c r="B44">
        <f>LN(A24/$A$24)</f>
        <v>0</v>
      </c>
      <c r="C44" s="144">
        <f>LN(C24)</f>
        <v>1.5834361098950998</v>
      </c>
      <c r="D44" s="1" t="s">
        <v>226</v>
      </c>
      <c r="E44">
        <f>MDETERM(A44:B45)</f>
        <v>-0.69314718055994529</v>
      </c>
      <c r="I44" s="148">
        <v>1</v>
      </c>
      <c r="J44">
        <f>LN(A30/$A$29)</f>
        <v>-0.69314718055994529</v>
      </c>
      <c r="K44" s="144">
        <f>LN(C30)</f>
        <v>1.1891129414189121</v>
      </c>
      <c r="L44" s="11"/>
    </row>
    <row r="45" spans="1:13" ht="15" customHeight="1" x14ac:dyDescent="0.25">
      <c r="A45" s="148">
        <v>1</v>
      </c>
      <c r="B45">
        <f>LN(A25/$A$24)</f>
        <v>-0.69314718055994529</v>
      </c>
      <c r="C45" s="144">
        <f>LN(C25)</f>
        <v>1.4172680195853311</v>
      </c>
      <c r="D45" s="11"/>
    </row>
    <row r="46" spans="1:13" ht="15" customHeight="1" x14ac:dyDescent="0.25">
      <c r="A46" s="146">
        <f>C44</f>
        <v>1.5834361098950998</v>
      </c>
      <c r="B46" s="146">
        <f>B44</f>
        <v>0</v>
      </c>
      <c r="C46" s="11" t="s">
        <v>228</v>
      </c>
      <c r="D46">
        <f>MDETERM(A46:B47)</f>
        <v>-1.097554275170596</v>
      </c>
      <c r="I46" s="146">
        <f>K43</f>
        <v>1.4751443246507274</v>
      </c>
      <c r="J46" s="146">
        <f>J43</f>
        <v>0</v>
      </c>
      <c r="K46" s="11" t="s">
        <v>228</v>
      </c>
      <c r="L46">
        <f>MDETERM(I46:J47)</f>
        <v>-1.0224921295506564</v>
      </c>
    </row>
    <row r="47" spans="1:13" ht="15" customHeight="1" x14ac:dyDescent="0.25">
      <c r="A47" s="146">
        <f>C45</f>
        <v>1.4172680195853311</v>
      </c>
      <c r="B47" s="146">
        <f>B45</f>
        <v>-0.69314718055994529</v>
      </c>
      <c r="C47" s="147" t="s">
        <v>241</v>
      </c>
      <c r="D47">
        <f>D46/$E$44</f>
        <v>1.5834361098950998</v>
      </c>
      <c r="I47" s="146">
        <f>K44</f>
        <v>1.1891129414189121</v>
      </c>
      <c r="J47" s="146">
        <f>J44</f>
        <v>-0.69314718055994529</v>
      </c>
      <c r="K47" s="147" t="s">
        <v>241</v>
      </c>
      <c r="L47">
        <f>L46/$M$43</f>
        <v>1.4751443246507274</v>
      </c>
    </row>
    <row r="48" spans="1:13" ht="15" customHeight="1" x14ac:dyDescent="0.25">
      <c r="C48" s="140" t="s">
        <v>242</v>
      </c>
      <c r="D48" s="155">
        <f>EXP(D47)</f>
        <v>4.8716666666666679</v>
      </c>
      <c r="E48" s="153" t="s">
        <v>96</v>
      </c>
      <c r="K48" s="140" t="s">
        <v>242</v>
      </c>
      <c r="L48" s="155">
        <f>EXP(L47)</f>
        <v>4.371666666666667</v>
      </c>
      <c r="M48" s="153" t="s">
        <v>96</v>
      </c>
    </row>
    <row r="49" spans="1:15" ht="15" customHeight="1" x14ac:dyDescent="0.25">
      <c r="A49" s="1">
        <f>A44</f>
        <v>1</v>
      </c>
      <c r="B49">
        <f>C44</f>
        <v>1.5834361098950998</v>
      </c>
      <c r="C49" s="11" t="s">
        <v>229</v>
      </c>
      <c r="D49">
        <f>MDETERM(A49:B50)</f>
        <v>-0.16616809030976865</v>
      </c>
      <c r="I49" s="1">
        <f>I43</f>
        <v>1</v>
      </c>
      <c r="J49">
        <f>K43</f>
        <v>1.4751443246507274</v>
      </c>
      <c r="K49" s="11" t="s">
        <v>229</v>
      </c>
      <c r="L49">
        <f>MDETERM(I49:J50)</f>
        <v>-0.28603138323181532</v>
      </c>
    </row>
    <row r="50" spans="1:15" ht="15" customHeight="1" x14ac:dyDescent="0.25">
      <c r="A50" s="1">
        <f>A45</f>
        <v>1</v>
      </c>
      <c r="B50">
        <f>C45</f>
        <v>1.4172680195853311</v>
      </c>
      <c r="C50" s="147" t="s">
        <v>227</v>
      </c>
      <c r="D50" s="138">
        <f>D49/$E$44</f>
        <v>0.23972987984389266</v>
      </c>
      <c r="G50">
        <f>(D50+L50)/2</f>
        <v>0.32619296898552164</v>
      </c>
      <c r="I50" s="1">
        <f>I44</f>
        <v>1</v>
      </c>
      <c r="J50">
        <f>K44</f>
        <v>1.1891129414189121</v>
      </c>
      <c r="K50" s="147" t="s">
        <v>227</v>
      </c>
      <c r="L50" s="138">
        <f>L49/$M$43</f>
        <v>0.41265605812715056</v>
      </c>
    </row>
    <row r="52" spans="1:15" ht="15" customHeight="1" x14ac:dyDescent="0.25">
      <c r="A52" s="174" t="s">
        <v>39</v>
      </c>
      <c r="B52" s="174" t="s">
        <v>236</v>
      </c>
      <c r="C52" s="174" t="s">
        <v>230</v>
      </c>
      <c r="D52" s="174" t="s">
        <v>230</v>
      </c>
      <c r="E52" s="174" t="s">
        <v>230</v>
      </c>
      <c r="F52" s="174" t="s">
        <v>230</v>
      </c>
      <c r="G52" s="175"/>
    </row>
    <row r="53" spans="1:15" ht="15" customHeight="1" x14ac:dyDescent="0.25">
      <c r="C53" s="154">
        <f>C23</f>
        <v>30</v>
      </c>
      <c r="D53" s="154">
        <f>D9</f>
        <v>55</v>
      </c>
      <c r="E53" s="154">
        <f>C28</f>
        <v>29</v>
      </c>
      <c r="F53" s="154">
        <f>D9</f>
        <v>55</v>
      </c>
      <c r="G53" s="1"/>
    </row>
    <row r="54" spans="1:15" ht="15" customHeight="1" x14ac:dyDescent="0.25">
      <c r="A54" s="153" t="s">
        <v>238</v>
      </c>
      <c r="B54" s="153" t="s">
        <v>239</v>
      </c>
      <c r="C54" s="153" t="s">
        <v>96</v>
      </c>
      <c r="D54" s="153" t="s">
        <v>96</v>
      </c>
      <c r="E54" s="153" t="s">
        <v>96</v>
      </c>
      <c r="F54" s="153" t="s">
        <v>96</v>
      </c>
      <c r="G54" s="153"/>
    </row>
    <row r="55" spans="1:15" ht="15" customHeight="1" x14ac:dyDescent="0.25">
      <c r="A55" s="143">
        <v>2</v>
      </c>
      <c r="B55" s="1">
        <f t="shared" ref="B55:B83" si="0">$C$22+A55</f>
        <v>2</v>
      </c>
      <c r="C55" s="65">
        <f t="shared" ref="C55:D83" si="1">C$53*($B55/$A$24)^$D$50</f>
        <v>15.673898804437533</v>
      </c>
      <c r="D55" s="65">
        <f t="shared" si="1"/>
        <v>28.73548114146881</v>
      </c>
      <c r="E55" s="65">
        <f t="shared" ref="E55:F73" si="2">E$53*($B55/$A$29)^$L$50</f>
        <v>11.213519426564636</v>
      </c>
      <c r="F55" s="65">
        <f t="shared" si="2"/>
        <v>21.267019602105343</v>
      </c>
      <c r="G55" s="65"/>
      <c r="I55" s="1">
        <f t="shared" ref="I55:I83" si="3">A55</f>
        <v>2</v>
      </c>
      <c r="J55" s="5">
        <f t="shared" ref="J55:J83" si="4">C55</f>
        <v>15.673898804437533</v>
      </c>
      <c r="K55" s="5">
        <f t="shared" ref="K55:K83" si="5">D55</f>
        <v>28.73548114146881</v>
      </c>
      <c r="L55" s="3">
        <f t="shared" ref="L55:L73" si="6">E55</f>
        <v>11.213519426564636</v>
      </c>
      <c r="M55" s="3">
        <f t="shared" ref="M55:M73" si="7">F55</f>
        <v>21.267019602105343</v>
      </c>
      <c r="N55">
        <f t="shared" ref="N55:N83" si="8">IF(I55&lt;$D$10,(-1000000000*$D$10),IF(I55=$D$10,$D$13,(1000000000*$D$10)))</f>
        <v>-16000000000</v>
      </c>
      <c r="O55" s="3">
        <f>((J55^2+K55^2)/2)^0.5</f>
        <v>23.14518286991332</v>
      </c>
    </row>
    <row r="56" spans="1:15" ht="15" customHeight="1" x14ac:dyDescent="0.25">
      <c r="A56" s="1">
        <f>A55+1</f>
        <v>3</v>
      </c>
      <c r="B56" s="1">
        <f t="shared" si="0"/>
        <v>3</v>
      </c>
      <c r="C56" s="65">
        <f t="shared" si="1"/>
        <v>17.273938731480779</v>
      </c>
      <c r="D56" s="65">
        <f t="shared" si="1"/>
        <v>31.668887674381427</v>
      </c>
      <c r="E56" s="65">
        <f t="shared" si="2"/>
        <v>13.255834236147848</v>
      </c>
      <c r="F56" s="65">
        <f t="shared" si="2"/>
        <v>25.140375275452815</v>
      </c>
      <c r="G56" s="65"/>
      <c r="I56" s="1">
        <f t="shared" si="3"/>
        <v>3</v>
      </c>
      <c r="J56" s="5">
        <f t="shared" si="4"/>
        <v>17.273938731480779</v>
      </c>
      <c r="K56" s="5">
        <f t="shared" si="5"/>
        <v>31.668887674381427</v>
      </c>
      <c r="L56" s="3">
        <f t="shared" si="6"/>
        <v>13.255834236147848</v>
      </c>
      <c r="M56" s="3">
        <f t="shared" si="7"/>
        <v>25.140375275452815</v>
      </c>
      <c r="N56">
        <f t="shared" si="8"/>
        <v>-16000000000</v>
      </c>
      <c r="O56" s="3">
        <f t="shared" ref="O56:O83" si="9">((J56^2+K56^2)/2)^0.5</f>
        <v>25.507914515219973</v>
      </c>
    </row>
    <row r="57" spans="1:15" ht="15" customHeight="1" x14ac:dyDescent="0.25">
      <c r="A57" s="1">
        <f t="shared" ref="A57:A83" si="10">A56+1</f>
        <v>4</v>
      </c>
      <c r="B57" s="1">
        <f t="shared" si="0"/>
        <v>4</v>
      </c>
      <c r="C57" s="65">
        <f t="shared" si="1"/>
        <v>18.507293962985631</v>
      </c>
      <c r="D57" s="65">
        <f t="shared" si="1"/>
        <v>33.93003893214032</v>
      </c>
      <c r="E57" s="65">
        <f t="shared" si="2"/>
        <v>14.926699546246656</v>
      </c>
      <c r="F57" s="65">
        <f t="shared" si="2"/>
        <v>28.309257760122968</v>
      </c>
      <c r="G57" s="65"/>
      <c r="I57" s="1">
        <f t="shared" si="3"/>
        <v>4</v>
      </c>
      <c r="J57" s="5">
        <f t="shared" si="4"/>
        <v>18.507293962985631</v>
      </c>
      <c r="K57" s="5">
        <f t="shared" si="5"/>
        <v>33.93003893214032</v>
      </c>
      <c r="L57" s="3">
        <f t="shared" si="6"/>
        <v>14.926699546246656</v>
      </c>
      <c r="M57" s="3">
        <f t="shared" si="7"/>
        <v>28.309257760122968</v>
      </c>
      <c r="N57">
        <f t="shared" si="8"/>
        <v>-16000000000</v>
      </c>
      <c r="O57" s="3">
        <f t="shared" si="9"/>
        <v>27.329173713898872</v>
      </c>
    </row>
    <row r="58" spans="1:15" ht="15" customHeight="1" x14ac:dyDescent="0.25">
      <c r="A58" s="1">
        <f t="shared" si="10"/>
        <v>5</v>
      </c>
      <c r="B58" s="1">
        <f t="shared" si="0"/>
        <v>5</v>
      </c>
      <c r="C58" s="65">
        <f t="shared" si="1"/>
        <v>19.524285469715945</v>
      </c>
      <c r="D58" s="65">
        <f t="shared" si="1"/>
        <v>35.794523361145899</v>
      </c>
      <c r="E58" s="65">
        <f t="shared" si="2"/>
        <v>16.366442729489521</v>
      </c>
      <c r="F58" s="65">
        <f t="shared" si="2"/>
        <v>31.039805176618056</v>
      </c>
      <c r="G58" s="65"/>
      <c r="I58" s="1">
        <f t="shared" si="3"/>
        <v>5</v>
      </c>
      <c r="J58" s="5">
        <f t="shared" si="4"/>
        <v>19.524285469715945</v>
      </c>
      <c r="K58" s="5">
        <f t="shared" si="5"/>
        <v>35.794523361145899</v>
      </c>
      <c r="L58" s="3">
        <f t="shared" si="6"/>
        <v>16.366442729489521</v>
      </c>
      <c r="M58" s="3">
        <f t="shared" si="7"/>
        <v>31.039805176618056</v>
      </c>
      <c r="N58">
        <f t="shared" si="8"/>
        <v>-16000000000</v>
      </c>
      <c r="O58" s="3">
        <f t="shared" si="9"/>
        <v>28.830934998318913</v>
      </c>
    </row>
    <row r="59" spans="1:15" ht="15" customHeight="1" x14ac:dyDescent="0.25">
      <c r="A59" s="1">
        <f t="shared" si="10"/>
        <v>6</v>
      </c>
      <c r="B59" s="1">
        <f t="shared" si="0"/>
        <v>6</v>
      </c>
      <c r="C59" s="65">
        <f t="shared" si="1"/>
        <v>20.396575605784019</v>
      </c>
      <c r="D59" s="65">
        <f t="shared" si="1"/>
        <v>37.393721943937365</v>
      </c>
      <c r="E59" s="65">
        <f t="shared" si="2"/>
        <v>17.645294697495967</v>
      </c>
      <c r="F59" s="65">
        <f t="shared" si="2"/>
        <v>33.465214081457873</v>
      </c>
      <c r="G59" s="65"/>
      <c r="I59" s="1">
        <f t="shared" si="3"/>
        <v>6</v>
      </c>
      <c r="J59" s="5">
        <f t="shared" si="4"/>
        <v>20.396575605784019</v>
      </c>
      <c r="K59" s="5">
        <f t="shared" si="5"/>
        <v>37.393721943937365</v>
      </c>
      <c r="L59" s="3">
        <f t="shared" si="6"/>
        <v>17.645294697495967</v>
      </c>
      <c r="M59" s="3">
        <f t="shared" si="7"/>
        <v>33.465214081457873</v>
      </c>
      <c r="N59">
        <f t="shared" si="8"/>
        <v>-16000000000</v>
      </c>
      <c r="O59" s="3">
        <f t="shared" si="9"/>
        <v>30.119020047662296</v>
      </c>
    </row>
    <row r="60" spans="1:15" ht="15" customHeight="1" x14ac:dyDescent="0.25">
      <c r="A60" s="1">
        <f t="shared" si="10"/>
        <v>7</v>
      </c>
      <c r="B60" s="1">
        <f t="shared" si="0"/>
        <v>7</v>
      </c>
      <c r="C60" s="65">
        <f t="shared" si="1"/>
        <v>21.164421658997373</v>
      </c>
      <c r="D60" s="65">
        <f t="shared" si="1"/>
        <v>38.801439708161851</v>
      </c>
      <c r="E60" s="65">
        <f t="shared" si="2"/>
        <v>18.804202279369495</v>
      </c>
      <c r="F60" s="65">
        <f t="shared" si="2"/>
        <v>35.663142253976631</v>
      </c>
      <c r="G60" s="65"/>
      <c r="I60" s="1">
        <f t="shared" si="3"/>
        <v>7</v>
      </c>
      <c r="J60" s="5">
        <f t="shared" si="4"/>
        <v>21.164421658997373</v>
      </c>
      <c r="K60" s="5">
        <f t="shared" si="5"/>
        <v>38.801439708161851</v>
      </c>
      <c r="L60" s="3">
        <f t="shared" si="6"/>
        <v>18.804202279369495</v>
      </c>
      <c r="M60" s="3">
        <f t="shared" si="7"/>
        <v>35.663142253976631</v>
      </c>
      <c r="N60">
        <f t="shared" si="8"/>
        <v>-16000000000</v>
      </c>
      <c r="O60" s="3">
        <f t="shared" si="9"/>
        <v>31.252875608381672</v>
      </c>
    </row>
    <row r="61" spans="1:15" ht="15" customHeight="1" x14ac:dyDescent="0.25">
      <c r="A61" s="1">
        <f t="shared" si="10"/>
        <v>8</v>
      </c>
      <c r="B61" s="1">
        <f t="shared" si="0"/>
        <v>8</v>
      </c>
      <c r="C61" s="65">
        <f t="shared" si="1"/>
        <v>21.85288638812645</v>
      </c>
      <c r="D61" s="65">
        <f t="shared" si="1"/>
        <v>40.063625044898487</v>
      </c>
      <c r="E61" s="65">
        <f t="shared" si="2"/>
        <v>19.869440705305749</v>
      </c>
      <c r="F61" s="65">
        <f t="shared" si="2"/>
        <v>37.683422027304005</v>
      </c>
      <c r="G61" s="65"/>
      <c r="I61" s="1">
        <f t="shared" si="3"/>
        <v>8</v>
      </c>
      <c r="J61" s="5">
        <f t="shared" si="4"/>
        <v>21.85288638812645</v>
      </c>
      <c r="K61" s="5">
        <f t="shared" si="5"/>
        <v>40.063625044898487</v>
      </c>
      <c r="L61" s="3">
        <f t="shared" si="6"/>
        <v>19.869440705305749</v>
      </c>
      <c r="M61" s="3">
        <f t="shared" si="7"/>
        <v>37.683422027304005</v>
      </c>
      <c r="N61">
        <f t="shared" si="8"/>
        <v>-16000000000</v>
      </c>
      <c r="O61" s="3">
        <f t="shared" si="9"/>
        <v>32.269511115219728</v>
      </c>
    </row>
    <row r="62" spans="1:15" ht="15" customHeight="1" x14ac:dyDescent="0.25">
      <c r="A62" s="1">
        <f t="shared" si="10"/>
        <v>9</v>
      </c>
      <c r="B62" s="1">
        <f t="shared" si="0"/>
        <v>9</v>
      </c>
      <c r="C62" s="65">
        <f t="shared" si="1"/>
        <v>22.478720945077075</v>
      </c>
      <c r="D62" s="65">
        <f t="shared" si="1"/>
        <v>41.210988399307972</v>
      </c>
      <c r="E62" s="65">
        <f t="shared" si="2"/>
        <v>20.859026739087174</v>
      </c>
      <c r="F62" s="65">
        <f t="shared" si="2"/>
        <v>39.560223125854982</v>
      </c>
      <c r="G62" s="65"/>
      <c r="I62" s="1">
        <f t="shared" si="3"/>
        <v>9</v>
      </c>
      <c r="J62" s="5">
        <f t="shared" si="4"/>
        <v>22.478720945077075</v>
      </c>
      <c r="K62" s="5">
        <f t="shared" si="5"/>
        <v>41.210988399307972</v>
      </c>
      <c r="L62" s="3">
        <f t="shared" si="6"/>
        <v>20.859026739087174</v>
      </c>
      <c r="M62" s="3">
        <f t="shared" si="7"/>
        <v>39.560223125854982</v>
      </c>
      <c r="N62">
        <f t="shared" si="8"/>
        <v>-16000000000</v>
      </c>
      <c r="O62" s="3">
        <f t="shared" si="9"/>
        <v>33.19366249884564</v>
      </c>
    </row>
    <row r="63" spans="1:15" ht="15" customHeight="1" x14ac:dyDescent="0.25">
      <c r="A63" s="1">
        <f t="shared" si="10"/>
        <v>10</v>
      </c>
      <c r="B63" s="1">
        <f t="shared" si="0"/>
        <v>10</v>
      </c>
      <c r="C63" s="65">
        <f t="shared" si="1"/>
        <v>23.053721037357999</v>
      </c>
      <c r="D63" s="65">
        <f t="shared" si="1"/>
        <v>42.265155235156335</v>
      </c>
      <c r="E63" s="65">
        <f t="shared" si="2"/>
        <v>21.785932138772399</v>
      </c>
      <c r="F63" s="65">
        <f t="shared" si="2"/>
        <v>41.318147159740754</v>
      </c>
      <c r="G63" s="65"/>
      <c r="I63" s="1">
        <f t="shared" si="3"/>
        <v>10</v>
      </c>
      <c r="J63" s="5">
        <f t="shared" si="4"/>
        <v>23.053721037357999</v>
      </c>
      <c r="K63" s="5">
        <f t="shared" si="5"/>
        <v>42.265155235156335</v>
      </c>
      <c r="L63" s="3">
        <f t="shared" si="6"/>
        <v>21.785932138772399</v>
      </c>
      <c r="M63" s="3">
        <f t="shared" si="7"/>
        <v>41.318147159740754</v>
      </c>
      <c r="N63">
        <f t="shared" si="8"/>
        <v>-16000000000</v>
      </c>
      <c r="O63" s="3">
        <f t="shared" si="9"/>
        <v>34.042748131725396</v>
      </c>
    </row>
    <row r="64" spans="1:15" ht="15" customHeight="1" x14ac:dyDescent="0.25">
      <c r="A64" s="1">
        <f t="shared" si="10"/>
        <v>11</v>
      </c>
      <c r="B64" s="1">
        <f t="shared" si="0"/>
        <v>11</v>
      </c>
      <c r="C64" s="65">
        <f t="shared" si="1"/>
        <v>23.586532388949038</v>
      </c>
      <c r="D64" s="65">
        <f t="shared" si="1"/>
        <v>43.24197604640657</v>
      </c>
      <c r="E64" s="65">
        <f t="shared" si="2"/>
        <v>22.659853033432377</v>
      </c>
      <c r="F64" s="65">
        <f t="shared" si="2"/>
        <v>42.975583339268304</v>
      </c>
      <c r="G64" s="65"/>
      <c r="I64" s="1">
        <f t="shared" si="3"/>
        <v>11</v>
      </c>
      <c r="J64" s="5">
        <f t="shared" si="4"/>
        <v>23.586532388949038</v>
      </c>
      <c r="K64" s="5">
        <f t="shared" si="5"/>
        <v>43.24197604640657</v>
      </c>
      <c r="L64" s="3">
        <f t="shared" si="6"/>
        <v>22.659853033432377</v>
      </c>
      <c r="M64" s="3">
        <f t="shared" si="7"/>
        <v>42.975583339268304</v>
      </c>
      <c r="N64">
        <f t="shared" si="8"/>
        <v>-16000000000</v>
      </c>
      <c r="O64" s="3">
        <f t="shared" si="9"/>
        <v>34.829534898796318</v>
      </c>
    </row>
    <row r="65" spans="1:15" ht="15" customHeight="1" x14ac:dyDescent="0.25">
      <c r="A65" s="1">
        <f t="shared" si="10"/>
        <v>12</v>
      </c>
      <c r="B65" s="1">
        <f t="shared" si="0"/>
        <v>12</v>
      </c>
      <c r="C65" s="65">
        <f t="shared" si="1"/>
        <v>24.083696423230343</v>
      </c>
      <c r="D65" s="65">
        <f t="shared" si="1"/>
        <v>44.153443442588966</v>
      </c>
      <c r="E65" s="65">
        <f t="shared" si="2"/>
        <v>23.488255768349113</v>
      </c>
      <c r="F65" s="65">
        <f t="shared" si="2"/>
        <v>44.546691974455214</v>
      </c>
      <c r="G65" s="65"/>
      <c r="I65" s="1">
        <f t="shared" si="3"/>
        <v>12</v>
      </c>
      <c r="J65" s="5">
        <f t="shared" si="4"/>
        <v>24.083696423230343</v>
      </c>
      <c r="K65" s="5">
        <f t="shared" si="5"/>
        <v>44.153443442588966</v>
      </c>
      <c r="L65" s="3">
        <f t="shared" si="6"/>
        <v>23.488255768349113</v>
      </c>
      <c r="M65" s="3">
        <f t="shared" si="7"/>
        <v>44.546691974455214</v>
      </c>
      <c r="N65">
        <f t="shared" si="8"/>
        <v>-16000000000</v>
      </c>
      <c r="O65" s="3">
        <f t="shared" si="9"/>
        <v>35.563682326526738</v>
      </c>
    </row>
    <row r="66" spans="1:15" ht="15" customHeight="1" x14ac:dyDescent="0.25">
      <c r="A66" s="1">
        <f t="shared" si="10"/>
        <v>13</v>
      </c>
      <c r="B66" s="1">
        <f t="shared" si="0"/>
        <v>13</v>
      </c>
      <c r="C66" s="65">
        <f t="shared" si="1"/>
        <v>24.550291878165904</v>
      </c>
      <c r="D66" s="65">
        <f t="shared" si="1"/>
        <v>45.008868443304159</v>
      </c>
      <c r="E66" s="65">
        <f t="shared" si="2"/>
        <v>24.277030342634038</v>
      </c>
      <c r="F66" s="65">
        <f t="shared" si="2"/>
        <v>46.042643753271449</v>
      </c>
      <c r="G66" s="65"/>
      <c r="I66" s="1">
        <f t="shared" si="3"/>
        <v>13</v>
      </c>
      <c r="J66" s="5">
        <f t="shared" si="4"/>
        <v>24.550291878165904</v>
      </c>
      <c r="K66" s="5">
        <f t="shared" si="5"/>
        <v>45.008868443304159</v>
      </c>
      <c r="L66" s="3">
        <f t="shared" si="6"/>
        <v>24.277030342634038</v>
      </c>
      <c r="M66" s="3">
        <f t="shared" si="7"/>
        <v>46.042643753271449</v>
      </c>
      <c r="N66">
        <f t="shared" si="8"/>
        <v>-16000000000</v>
      </c>
      <c r="O66" s="3">
        <f t="shared" si="9"/>
        <v>36.252690037084143</v>
      </c>
    </row>
    <row r="67" spans="1:15" ht="15" customHeight="1" x14ac:dyDescent="0.25">
      <c r="A67" s="1">
        <f t="shared" si="10"/>
        <v>14</v>
      </c>
      <c r="B67" s="1">
        <f t="shared" si="0"/>
        <v>14</v>
      </c>
      <c r="C67" s="65">
        <f t="shared" si="1"/>
        <v>24.990347206321694</v>
      </c>
      <c r="D67" s="65">
        <f t="shared" si="1"/>
        <v>45.815636544923102</v>
      </c>
      <c r="E67" s="65">
        <f t="shared" si="2"/>
        <v>25.030917319861047</v>
      </c>
      <c r="F67" s="65">
        <f t="shared" si="2"/>
        <v>47.47242939973647</v>
      </c>
      <c r="G67" s="65"/>
      <c r="I67" s="1">
        <f t="shared" si="3"/>
        <v>14</v>
      </c>
      <c r="J67" s="5">
        <f t="shared" si="4"/>
        <v>24.990347206321694</v>
      </c>
      <c r="K67" s="5">
        <f t="shared" si="5"/>
        <v>45.815636544923102</v>
      </c>
      <c r="L67" s="3">
        <f t="shared" si="6"/>
        <v>25.030917319861047</v>
      </c>
      <c r="M67" s="3">
        <f t="shared" si="7"/>
        <v>47.47242939973647</v>
      </c>
      <c r="N67">
        <f t="shared" si="8"/>
        <v>-16000000000</v>
      </c>
      <c r="O67" s="3">
        <f t="shared" si="9"/>
        <v>36.902506727246887</v>
      </c>
    </row>
    <row r="68" spans="1:15" ht="15" customHeight="1" x14ac:dyDescent="0.25">
      <c r="A68" s="1">
        <f t="shared" si="10"/>
        <v>15</v>
      </c>
      <c r="B68" s="1">
        <f t="shared" si="0"/>
        <v>15</v>
      </c>
      <c r="C68" s="65">
        <f t="shared" si="1"/>
        <v>25.407115976736218</v>
      </c>
      <c r="D68" s="65">
        <f t="shared" si="1"/>
        <v>46.579712624016402</v>
      </c>
      <c r="E68" s="65">
        <f t="shared" si="2"/>
        <v>25.753797191218368</v>
      </c>
      <c r="F68" s="65">
        <f t="shared" si="2"/>
        <v>48.843408466103803</v>
      </c>
      <c r="G68" s="65"/>
      <c r="I68" s="1">
        <f t="shared" si="3"/>
        <v>15</v>
      </c>
      <c r="J68" s="5">
        <f t="shared" si="4"/>
        <v>25.407115976736218</v>
      </c>
      <c r="K68" s="5">
        <f t="shared" si="5"/>
        <v>46.579712624016402</v>
      </c>
      <c r="L68" s="3">
        <f t="shared" si="6"/>
        <v>25.753797191218368</v>
      </c>
      <c r="M68" s="3">
        <f t="shared" si="7"/>
        <v>48.843408466103803</v>
      </c>
      <c r="N68">
        <f t="shared" si="8"/>
        <v>-16000000000</v>
      </c>
      <c r="O68" s="3">
        <f t="shared" si="9"/>
        <v>37.517936846202495</v>
      </c>
    </row>
    <row r="69" spans="1:15" ht="15" customHeight="1" x14ac:dyDescent="0.25">
      <c r="A69" s="1">
        <f t="shared" si="10"/>
        <v>16</v>
      </c>
      <c r="B69" s="1">
        <f t="shared" si="0"/>
        <v>16</v>
      </c>
      <c r="C69" s="65">
        <f t="shared" si="1"/>
        <v>25.80326677943593</v>
      </c>
      <c r="D69" s="65">
        <f t="shared" si="1"/>
        <v>47.305989095632533</v>
      </c>
      <c r="E69" s="65">
        <f t="shared" si="2"/>
        <v>26.448892651619882</v>
      </c>
      <c r="F69" s="65">
        <f t="shared" si="2"/>
        <v>50.16169295996874</v>
      </c>
      <c r="G69" s="65"/>
      <c r="I69" s="1">
        <f t="shared" si="3"/>
        <v>16</v>
      </c>
      <c r="J69" s="5">
        <f t="shared" si="4"/>
        <v>25.80326677943593</v>
      </c>
      <c r="K69" s="5">
        <f t="shared" si="5"/>
        <v>47.305989095632533</v>
      </c>
      <c r="L69" s="3">
        <f t="shared" si="6"/>
        <v>26.448892651619882</v>
      </c>
      <c r="M69" s="3">
        <f t="shared" si="7"/>
        <v>50.16169295996874</v>
      </c>
      <c r="N69">
        <f t="shared" si="8"/>
        <v>12</v>
      </c>
      <c r="O69" s="3">
        <f t="shared" si="9"/>
        <v>38.102921021929838</v>
      </c>
    </row>
    <row r="70" spans="1:15" ht="15" customHeight="1" x14ac:dyDescent="0.25">
      <c r="A70" s="1">
        <f t="shared" si="10"/>
        <v>17</v>
      </c>
      <c r="B70" s="1">
        <f t="shared" si="0"/>
        <v>17</v>
      </c>
      <c r="C70" s="65">
        <f t="shared" si="1"/>
        <v>26.18101779586927</v>
      </c>
      <c r="D70" s="65">
        <f t="shared" si="1"/>
        <v>47.998532625760326</v>
      </c>
      <c r="E70" s="65">
        <f t="shared" si="2"/>
        <v>27.11891375989627</v>
      </c>
      <c r="F70" s="65">
        <f t="shared" si="2"/>
        <v>51.432422648079132</v>
      </c>
      <c r="G70" s="65"/>
      <c r="I70" s="1">
        <f t="shared" si="3"/>
        <v>17</v>
      </c>
      <c r="J70" s="5">
        <f t="shared" si="4"/>
        <v>26.18101779586927</v>
      </c>
      <c r="K70" s="5">
        <f t="shared" si="5"/>
        <v>47.998532625760326</v>
      </c>
      <c r="L70" s="3">
        <f t="shared" si="6"/>
        <v>27.11891375989627</v>
      </c>
      <c r="M70" s="3">
        <f t="shared" si="7"/>
        <v>51.432422648079132</v>
      </c>
      <c r="N70">
        <f t="shared" si="8"/>
        <v>16000000000</v>
      </c>
      <c r="O70" s="3">
        <f t="shared" si="9"/>
        <v>38.660734777379766</v>
      </c>
    </row>
    <row r="71" spans="1:15" ht="15" customHeight="1" x14ac:dyDescent="0.25">
      <c r="A71" s="1">
        <f t="shared" si="10"/>
        <v>18</v>
      </c>
      <c r="B71" s="1">
        <f t="shared" si="0"/>
        <v>18</v>
      </c>
      <c r="C71" s="65">
        <f t="shared" si="1"/>
        <v>26.542234426362484</v>
      </c>
      <c r="D71" s="65">
        <f t="shared" si="1"/>
        <v>48.660763114997884</v>
      </c>
      <c r="E71" s="65">
        <f t="shared" si="2"/>
        <v>27.766164494608301</v>
      </c>
      <c r="F71" s="65">
        <f t="shared" si="2"/>
        <v>52.659967144946776</v>
      </c>
      <c r="G71" s="65"/>
      <c r="I71" s="1">
        <f t="shared" si="3"/>
        <v>18</v>
      </c>
      <c r="J71" s="5">
        <f t="shared" si="4"/>
        <v>26.542234426362484</v>
      </c>
      <c r="K71" s="5">
        <f t="shared" si="5"/>
        <v>48.660763114997884</v>
      </c>
      <c r="L71" s="3">
        <f t="shared" si="6"/>
        <v>27.766164494608301</v>
      </c>
      <c r="M71" s="3">
        <f t="shared" si="7"/>
        <v>52.659967144946776</v>
      </c>
      <c r="N71">
        <f t="shared" si="8"/>
        <v>16000000000</v>
      </c>
      <c r="O71" s="3">
        <f t="shared" si="9"/>
        <v>39.194132694052051</v>
      </c>
    </row>
    <row r="72" spans="1:15" ht="15" customHeight="1" x14ac:dyDescent="0.25">
      <c r="A72" s="1">
        <f t="shared" si="10"/>
        <v>19</v>
      </c>
      <c r="B72" s="1">
        <f t="shared" si="0"/>
        <v>19</v>
      </c>
      <c r="C72" s="65">
        <f t="shared" si="1"/>
        <v>26.888501581264521</v>
      </c>
      <c r="D72" s="65">
        <f t="shared" si="1"/>
        <v>49.295586232318293</v>
      </c>
      <c r="E72" s="65">
        <f t="shared" si="2"/>
        <v>28.392622529020542</v>
      </c>
      <c r="F72" s="65">
        <f t="shared" si="2"/>
        <v>53.848077210211379</v>
      </c>
      <c r="G72" s="65"/>
      <c r="I72" s="1">
        <f t="shared" si="3"/>
        <v>19</v>
      </c>
      <c r="J72" s="5">
        <f t="shared" si="4"/>
        <v>26.888501581264521</v>
      </c>
      <c r="K72" s="5">
        <f t="shared" si="5"/>
        <v>49.295586232318293</v>
      </c>
      <c r="L72" s="3">
        <f t="shared" si="6"/>
        <v>28.392622529020542</v>
      </c>
      <c r="M72" s="3">
        <f t="shared" si="7"/>
        <v>53.848077210211379</v>
      </c>
      <c r="N72">
        <f t="shared" si="8"/>
        <v>16000000000</v>
      </c>
      <c r="O72" s="3">
        <f t="shared" si="9"/>
        <v>39.705455162191463</v>
      </c>
    </row>
    <row r="73" spans="1:15" ht="15" customHeight="1" x14ac:dyDescent="0.25">
      <c r="A73" s="1">
        <f t="shared" si="10"/>
        <v>20</v>
      </c>
      <c r="B73" s="1">
        <f t="shared" si="0"/>
        <v>20</v>
      </c>
      <c r="C73" s="65">
        <f t="shared" si="1"/>
        <v>27.221178183073103</v>
      </c>
      <c r="D73" s="65">
        <f t="shared" si="1"/>
        <v>49.90549333563402</v>
      </c>
      <c r="E73" s="65">
        <f t="shared" si="2"/>
        <v>29</v>
      </c>
      <c r="F73" s="65">
        <f t="shared" si="2"/>
        <v>55</v>
      </c>
      <c r="G73" s="65"/>
      <c r="I73" s="1">
        <f t="shared" si="3"/>
        <v>20</v>
      </c>
      <c r="J73" s="5">
        <f t="shared" si="4"/>
        <v>27.221178183073103</v>
      </c>
      <c r="K73" s="5">
        <f t="shared" si="5"/>
        <v>49.90549333563402</v>
      </c>
      <c r="L73" s="3">
        <f t="shared" si="6"/>
        <v>29</v>
      </c>
      <c r="M73" s="3">
        <f t="shared" si="7"/>
        <v>55</v>
      </c>
      <c r="N73">
        <f t="shared" si="8"/>
        <v>16000000000</v>
      </c>
      <c r="O73" s="3">
        <f t="shared" si="9"/>
        <v>40.196708862465513</v>
      </c>
    </row>
    <row r="74" spans="1:15" ht="15" customHeight="1" x14ac:dyDescent="0.25">
      <c r="A74" s="1">
        <f t="shared" si="10"/>
        <v>21</v>
      </c>
      <c r="B74" s="1">
        <f t="shared" si="0"/>
        <v>21</v>
      </c>
      <c r="C74" s="65">
        <f t="shared" si="1"/>
        <v>27.541438917432377</v>
      </c>
      <c r="D74" s="65">
        <f t="shared" si="1"/>
        <v>50.492638015292691</v>
      </c>
      <c r="G74" s="65"/>
      <c r="I74" s="1">
        <f t="shared" si="3"/>
        <v>21</v>
      </c>
      <c r="J74" s="5">
        <f t="shared" si="4"/>
        <v>27.541438917432377</v>
      </c>
      <c r="K74" s="5">
        <f t="shared" si="5"/>
        <v>50.492638015292691</v>
      </c>
      <c r="L74" s="3"/>
      <c r="M74" s="3"/>
      <c r="N74">
        <f t="shared" si="8"/>
        <v>16000000000</v>
      </c>
      <c r="O74" s="3">
        <f t="shared" si="9"/>
        <v>40.669628418428161</v>
      </c>
    </row>
    <row r="75" spans="1:15" ht="15" customHeight="1" x14ac:dyDescent="0.25">
      <c r="A75" s="1">
        <f t="shared" si="10"/>
        <v>22</v>
      </c>
      <c r="B75" s="1">
        <f t="shared" si="0"/>
        <v>22</v>
      </c>
      <c r="C75" s="65">
        <f t="shared" si="1"/>
        <v>27.850306674570014</v>
      </c>
      <c r="D75" s="65">
        <f t="shared" si="1"/>
        <v>51.058895570045031</v>
      </c>
      <c r="G75" s="65"/>
      <c r="I75" s="1">
        <f t="shared" si="3"/>
        <v>22</v>
      </c>
      <c r="J75" s="5">
        <f t="shared" si="4"/>
        <v>27.850306674570014</v>
      </c>
      <c r="K75" s="5">
        <f t="shared" si="5"/>
        <v>51.058895570045031</v>
      </c>
      <c r="L75" s="3"/>
      <c r="M75" s="3"/>
      <c r="N75">
        <f t="shared" si="8"/>
        <v>16000000000</v>
      </c>
      <c r="O75" s="3">
        <f t="shared" si="9"/>
        <v>41.125724301830623</v>
      </c>
    </row>
    <row r="76" spans="1:15" ht="15" customHeight="1" x14ac:dyDescent="0.25">
      <c r="A76" s="1">
        <f t="shared" si="10"/>
        <v>23</v>
      </c>
      <c r="B76" s="1">
        <f t="shared" si="0"/>
        <v>23</v>
      </c>
      <c r="C76" s="65">
        <f t="shared" si="1"/>
        <v>28.148678081173614</v>
      </c>
      <c r="D76" s="65">
        <f t="shared" si="1"/>
        <v>51.605909815484964</v>
      </c>
      <c r="G76" s="65"/>
      <c r="I76" s="1">
        <f t="shared" si="3"/>
        <v>23</v>
      </c>
      <c r="J76" s="5">
        <f t="shared" si="4"/>
        <v>28.148678081173614</v>
      </c>
      <c r="K76" s="5">
        <f t="shared" si="5"/>
        <v>51.605909815484964</v>
      </c>
      <c r="L76" s="3"/>
      <c r="M76" s="3"/>
      <c r="N76">
        <f t="shared" si="8"/>
        <v>16000000000</v>
      </c>
      <c r="O76" s="3">
        <f t="shared" si="9"/>
        <v>41.566320534788204</v>
      </c>
    </row>
    <row r="77" spans="1:15" ht="15" customHeight="1" x14ac:dyDescent="0.25">
      <c r="A77" s="1">
        <f t="shared" si="10"/>
        <v>24</v>
      </c>
      <c r="B77" s="1">
        <f t="shared" si="0"/>
        <v>24</v>
      </c>
      <c r="C77" s="65">
        <f t="shared" si="1"/>
        <v>28.437343827550926</v>
      </c>
      <c r="D77" s="65">
        <f t="shared" si="1"/>
        <v>52.135130350510032</v>
      </c>
      <c r="G77" s="65"/>
      <c r="I77" s="1">
        <f t="shared" si="3"/>
        <v>24</v>
      </c>
      <c r="J77" s="5">
        <f t="shared" si="4"/>
        <v>28.437343827550926</v>
      </c>
      <c r="K77" s="5">
        <f t="shared" si="5"/>
        <v>52.135130350510032</v>
      </c>
      <c r="L77" s="3"/>
      <c r="N77">
        <f t="shared" si="8"/>
        <v>16000000000</v>
      </c>
      <c r="O77" s="3">
        <f t="shared" si="9"/>
        <v>41.992584706296789</v>
      </c>
    </row>
    <row r="78" spans="1:15" ht="15" customHeight="1" x14ac:dyDescent="0.25">
      <c r="A78" s="1">
        <f t="shared" si="10"/>
        <v>25</v>
      </c>
      <c r="B78" s="1">
        <f t="shared" si="0"/>
        <v>25</v>
      </c>
      <c r="C78" s="65">
        <f t="shared" si="1"/>
        <v>28.717005021439906</v>
      </c>
      <c r="D78" s="65">
        <f t="shared" si="1"/>
        <v>52.647842539306495</v>
      </c>
      <c r="G78" s="65"/>
      <c r="I78" s="1">
        <f t="shared" si="3"/>
        <v>25</v>
      </c>
      <c r="J78" s="5">
        <f t="shared" si="4"/>
        <v>28.717005021439906</v>
      </c>
      <c r="K78" s="5">
        <f t="shared" si="5"/>
        <v>52.647842539306495</v>
      </c>
      <c r="L78" s="3"/>
      <c r="N78">
        <f t="shared" si="8"/>
        <v>16000000000</v>
      </c>
      <c r="O78" s="3">
        <f t="shared" si="9"/>
        <v>42.405552121420463</v>
      </c>
    </row>
    <row r="79" spans="1:15" ht="15" customHeight="1" x14ac:dyDescent="0.25">
      <c r="A79" s="1">
        <f t="shared" si="10"/>
        <v>26</v>
      </c>
      <c r="B79" s="1">
        <f t="shared" si="0"/>
        <v>26</v>
      </c>
      <c r="C79" s="65">
        <f t="shared" si="1"/>
        <v>28.988286471371023</v>
      </c>
      <c r="D79" s="65">
        <f t="shared" si="1"/>
        <v>53.145191864180212</v>
      </c>
      <c r="G79" s="65"/>
      <c r="I79" s="1">
        <f t="shared" si="3"/>
        <v>26</v>
      </c>
      <c r="J79" s="5">
        <f t="shared" si="4"/>
        <v>28.988286471371023</v>
      </c>
      <c r="K79" s="5">
        <f t="shared" si="5"/>
        <v>53.145191864180212</v>
      </c>
      <c r="L79" s="3"/>
      <c r="N79">
        <f t="shared" si="8"/>
        <v>16000000000</v>
      </c>
      <c r="O79" s="3">
        <f t="shared" si="9"/>
        <v>42.806145416439911</v>
      </c>
    </row>
    <row r="80" spans="1:15" ht="15" customHeight="1" x14ac:dyDescent="0.25">
      <c r="A80" s="1">
        <f t="shared" si="10"/>
        <v>27</v>
      </c>
      <c r="B80" s="1">
        <f t="shared" si="0"/>
        <v>27</v>
      </c>
      <c r="C80" s="65">
        <f t="shared" si="1"/>
        <v>29.251747570794556</v>
      </c>
      <c r="D80" s="65">
        <f t="shared" si="1"/>
        <v>53.628203879790021</v>
      </c>
      <c r="G80" s="65"/>
      <c r="I80" s="1">
        <f t="shared" si="3"/>
        <v>27</v>
      </c>
      <c r="J80" s="5">
        <f t="shared" si="4"/>
        <v>29.251747570794556</v>
      </c>
      <c r="K80" s="5">
        <f t="shared" si="5"/>
        <v>53.628203879790021</v>
      </c>
      <c r="L80" s="3"/>
      <c r="N80">
        <f t="shared" si="8"/>
        <v>16000000000</v>
      </c>
      <c r="O80" s="3">
        <f t="shared" si="9"/>
        <v>43.195190631121257</v>
      </c>
    </row>
    <row r="81" spans="1:15" ht="15" customHeight="1" x14ac:dyDescent="0.25">
      <c r="A81" s="1">
        <f t="shared" si="10"/>
        <v>28</v>
      </c>
      <c r="B81" s="1">
        <f t="shared" si="0"/>
        <v>28</v>
      </c>
      <c r="C81" s="65">
        <f t="shared" si="1"/>
        <v>29.507891288256246</v>
      </c>
      <c r="D81" s="65">
        <f t="shared" si="1"/>
        <v>54.097800695136456</v>
      </c>
      <c r="G81" s="65"/>
      <c r="I81" s="1">
        <f t="shared" si="3"/>
        <v>28</v>
      </c>
      <c r="J81" s="5">
        <f t="shared" si="4"/>
        <v>29.507891288256246</v>
      </c>
      <c r="K81" s="5">
        <f t="shared" si="5"/>
        <v>54.097800695136456</v>
      </c>
      <c r="L81" s="3"/>
      <c r="N81">
        <f t="shared" si="8"/>
        <v>16000000000</v>
      </c>
      <c r="O81" s="3">
        <f t="shared" si="9"/>
        <v>43.573430484242664</v>
      </c>
    </row>
    <row r="82" spans="1:15" ht="15" customHeight="1" x14ac:dyDescent="0.25">
      <c r="A82" s="1">
        <f t="shared" si="10"/>
        <v>29</v>
      </c>
      <c r="B82" s="1">
        <f t="shared" si="0"/>
        <v>29</v>
      </c>
      <c r="C82" s="65">
        <f t="shared" si="1"/>
        <v>29.757171648406882</v>
      </c>
      <c r="D82" s="65">
        <f t="shared" si="1"/>
        <v>54.55481468874595</v>
      </c>
      <c r="G82" s="65"/>
      <c r="I82" s="1">
        <f t="shared" si="3"/>
        <v>29</v>
      </c>
      <c r="J82" s="5">
        <f t="shared" si="4"/>
        <v>29.757171648406882</v>
      </c>
      <c r="K82" s="5">
        <f t="shared" si="5"/>
        <v>54.55481468874595</v>
      </c>
      <c r="L82" s="3"/>
      <c r="N82">
        <f t="shared" si="8"/>
        <v>16000000000</v>
      </c>
      <c r="O82" s="3">
        <f t="shared" si="9"/>
        <v>43.941535420579932</v>
      </c>
    </row>
    <row r="83" spans="1:15" ht="15" customHeight="1" x14ac:dyDescent="0.25">
      <c r="A83" s="1">
        <f t="shared" si="10"/>
        <v>30</v>
      </c>
      <c r="B83" s="1">
        <f t="shared" si="0"/>
        <v>30</v>
      </c>
      <c r="C83" s="65">
        <f t="shared" si="1"/>
        <v>30</v>
      </c>
      <c r="D83" s="65">
        <f t="shared" si="1"/>
        <v>55</v>
      </c>
      <c r="G83" s="65"/>
      <c r="I83" s="1">
        <f t="shared" si="3"/>
        <v>30</v>
      </c>
      <c r="J83" s="5">
        <f t="shared" si="4"/>
        <v>30</v>
      </c>
      <c r="K83" s="5">
        <f t="shared" si="5"/>
        <v>55</v>
      </c>
      <c r="L83" s="3"/>
      <c r="N83">
        <f t="shared" si="8"/>
        <v>16000000000</v>
      </c>
      <c r="O83" s="3">
        <f t="shared" si="9"/>
        <v>44.300112866673373</v>
      </c>
    </row>
  </sheetData>
  <sheetProtection sheet="1" objects="1" scenarios="1"/>
  <mergeCells count="1">
    <mergeCell ref="A1:O2"/>
  </mergeCells>
  <conditionalFormatting sqref="D28:O30 D10 D23:O25">
    <cfRule type="cellIs" dxfId="6" priority="3" operator="equal">
      <formula>$C$28</formula>
    </cfRule>
  </conditionalFormatting>
  <conditionalFormatting sqref="D23:O23 D10">
    <cfRule type="cellIs" dxfId="5" priority="10" operator="equal">
      <formula>$C$23</formula>
    </cfRule>
    <cfRule type="cellIs" dxfId="4" priority="11" operator="equal">
      <formula>$C$28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>
              <from>
                <xdr:col>0</xdr:col>
                <xdr:colOff>685800</xdr:colOff>
                <xdr:row>14</xdr:row>
                <xdr:rowOff>38100</xdr:rowOff>
              </from>
              <to>
                <xdr:col>2</xdr:col>
                <xdr:colOff>742950</xdr:colOff>
                <xdr:row>16</xdr:row>
                <xdr:rowOff>142875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r:id="rId7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7</xdr:col>
                <xdr:colOff>638175</xdr:colOff>
                <xdr:row>10</xdr:row>
                <xdr:rowOff>9525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r:id="rId9">
            <anchor moveWithCells="1">
              <from>
                <xdr:col>5</xdr:col>
                <xdr:colOff>266700</xdr:colOff>
                <xdr:row>10</xdr:row>
                <xdr:rowOff>38100</xdr:rowOff>
              </from>
              <to>
                <xdr:col>7</xdr:col>
                <xdr:colOff>152400</xdr:colOff>
                <xdr:row>12</xdr:row>
                <xdr:rowOff>47625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>
              <from>
                <xdr:col>0</xdr:col>
                <xdr:colOff>409575</xdr:colOff>
                <xdr:row>30</xdr:row>
                <xdr:rowOff>85725</xdr:rowOff>
              </from>
              <to>
                <xdr:col>2</xdr:col>
                <xdr:colOff>447675</xdr:colOff>
                <xdr:row>33</xdr:row>
                <xdr:rowOff>76200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>
              <from>
                <xdr:col>0</xdr:col>
                <xdr:colOff>304800</xdr:colOff>
                <xdr:row>40</xdr:row>
                <xdr:rowOff>76200</xdr:rowOff>
              </from>
              <to>
                <xdr:col>2</xdr:col>
                <xdr:colOff>676275</xdr:colOff>
                <xdr:row>43</xdr:row>
                <xdr:rowOff>9525</xdr:rowOff>
              </to>
            </anchor>
          </objectPr>
        </oleObject>
      </mc:Choice>
      <mc:Fallback>
        <oleObject progId="Equation.3" shapeId="8197" r:id="rId12"/>
      </mc:Fallback>
    </mc:AlternateContent>
    <mc:AlternateContent xmlns:mc="http://schemas.openxmlformats.org/markup-compatibility/2006">
      <mc:Choice Requires="x14">
        <oleObject progId="Equation.3" shapeId="8198" r:id="rId14">
          <objectPr defaultSize="0" autoPict="0" r:id="rId15">
            <anchor moveWithCells="1">
              <from>
                <xdr:col>5</xdr:col>
                <xdr:colOff>371475</xdr:colOff>
                <xdr:row>12</xdr:row>
                <xdr:rowOff>57150</xdr:rowOff>
              </from>
              <to>
                <xdr:col>7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8198" r:id="rId14"/>
      </mc:Fallback>
    </mc:AlternateContent>
    <mc:AlternateContent xmlns:mc="http://schemas.openxmlformats.org/markup-compatibility/2006">
      <mc:Choice Requires="x14">
        <oleObject progId="Equation.3" shapeId="8199" r:id="rId16">
          <objectPr defaultSize="0" autoPict="0" r:id="rId11">
            <anchor moveWithCells="1">
              <from>
                <xdr:col>0</xdr:col>
                <xdr:colOff>190500</xdr:colOff>
                <xdr:row>83</xdr:row>
                <xdr:rowOff>0</xdr:rowOff>
              </from>
              <to>
                <xdr:col>2</xdr:col>
                <xdr:colOff>228600</xdr:colOff>
                <xdr:row>85</xdr:row>
                <xdr:rowOff>180975</xdr:rowOff>
              </to>
            </anchor>
          </objectPr>
        </oleObject>
      </mc:Choice>
      <mc:Fallback>
        <oleObject progId="Equation.3" shapeId="8199" r:id="rId16"/>
      </mc:Fallback>
    </mc:AlternateContent>
    <mc:AlternateContent xmlns:mc="http://schemas.openxmlformats.org/markup-compatibility/2006">
      <mc:Choice Requires="x14">
        <oleObject progId="Equation.3" shapeId="8202" r:id="rId17">
          <objectPr defaultSize="0" r:id="rId18">
            <anchor moveWithCells="1">
              <from>
                <xdr:col>4</xdr:col>
                <xdr:colOff>495300</xdr:colOff>
                <xdr:row>15</xdr:row>
                <xdr:rowOff>38100</xdr:rowOff>
              </from>
              <to>
                <xdr:col>7</xdr:col>
                <xdr:colOff>9525</xdr:colOff>
                <xdr:row>17</xdr:row>
                <xdr:rowOff>161925</xdr:rowOff>
              </to>
            </anchor>
          </objectPr>
        </oleObject>
      </mc:Choice>
      <mc:Fallback>
        <oleObject progId="Equation.3" shapeId="8202" r:id="rId1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6"/>
  <sheetViews>
    <sheetView topLeftCell="F7" zoomScale="85" zoomScaleNormal="85" workbookViewId="0">
      <selection activeCell="AL32" sqref="AL32"/>
    </sheetView>
  </sheetViews>
  <sheetFormatPr baseColWidth="10" defaultColWidth="6.7109375" defaultRowHeight="15" customHeight="1" x14ac:dyDescent="0.25"/>
  <cols>
    <col min="1" max="1" width="6.7109375" customWidth="1"/>
    <col min="2" max="2" width="6.7109375" style="222" customWidth="1"/>
    <col min="3" max="16" width="6.7109375" customWidth="1"/>
    <col min="17" max="17" width="6.7109375" style="222" customWidth="1"/>
  </cols>
  <sheetData>
    <row r="1" spans="1:24" ht="15" customHeight="1" x14ac:dyDescent="0.25">
      <c r="A1" s="338" t="s">
        <v>244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40"/>
      <c r="Q1" s="210"/>
      <c r="S1" s="323" t="s">
        <v>245</v>
      </c>
      <c r="T1" s="324"/>
      <c r="U1" s="325"/>
      <c r="V1" s="195"/>
      <c r="W1" s="195"/>
      <c r="X1" s="195"/>
    </row>
    <row r="2" spans="1:24" ht="15" customHeight="1" x14ac:dyDescent="0.25">
      <c r="A2" s="341"/>
      <c r="B2" s="342"/>
      <c r="C2" s="342"/>
      <c r="D2" s="342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  <c r="Q2" s="210"/>
      <c r="S2" s="326"/>
      <c r="T2" s="327"/>
      <c r="U2" s="328"/>
      <c r="V2" s="195"/>
      <c r="W2" s="195"/>
      <c r="X2" s="195"/>
    </row>
    <row r="3" spans="1:24" ht="15" customHeight="1" x14ac:dyDescent="0.25">
      <c r="A3" s="349" t="s">
        <v>246</v>
      </c>
      <c r="B3" s="350"/>
      <c r="C3" s="333" t="s">
        <v>288</v>
      </c>
      <c r="D3" s="345">
        <f>O13</f>
        <v>0.23972987984389241</v>
      </c>
      <c r="E3" s="319" t="s">
        <v>213</v>
      </c>
      <c r="F3" s="319" t="s">
        <v>214</v>
      </c>
      <c r="G3" s="319" t="s">
        <v>215</v>
      </c>
      <c r="H3" s="319" t="s">
        <v>216</v>
      </c>
      <c r="I3" s="319" t="s">
        <v>217</v>
      </c>
      <c r="J3" s="319" t="s">
        <v>218</v>
      </c>
      <c r="K3" s="319" t="s">
        <v>219</v>
      </c>
      <c r="L3" s="319" t="s">
        <v>220</v>
      </c>
      <c r="M3" s="319" t="s">
        <v>221</v>
      </c>
      <c r="N3" s="319" t="s">
        <v>222</v>
      </c>
      <c r="O3" s="319" t="s">
        <v>223</v>
      </c>
      <c r="P3" s="347" t="s">
        <v>224</v>
      </c>
      <c r="Q3" s="224"/>
      <c r="R3" s="83"/>
      <c r="S3" s="329"/>
      <c r="T3" s="330"/>
      <c r="U3" s="331"/>
      <c r="V3" s="195"/>
      <c r="W3" s="195"/>
      <c r="X3" s="195"/>
    </row>
    <row r="4" spans="1:24" ht="15" customHeight="1" x14ac:dyDescent="0.25">
      <c r="A4" s="351"/>
      <c r="B4" s="352"/>
      <c r="C4" s="336"/>
      <c r="D4" s="346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48"/>
      <c r="Q4" s="224"/>
      <c r="R4" s="83"/>
      <c r="S4" s="131" t="s">
        <v>39</v>
      </c>
      <c r="T4" s="102" t="s">
        <v>247</v>
      </c>
      <c r="U4" s="103" t="s">
        <v>248</v>
      </c>
      <c r="V4" s="221"/>
      <c r="W4" s="221"/>
      <c r="X4" s="221"/>
    </row>
    <row r="5" spans="1:24" ht="15" customHeight="1" x14ac:dyDescent="0.25">
      <c r="A5" s="178">
        <v>30</v>
      </c>
      <c r="B5" s="321" t="s">
        <v>284</v>
      </c>
      <c r="C5" s="322"/>
      <c r="D5" s="196">
        <v>30</v>
      </c>
      <c r="E5" s="197">
        <v>22</v>
      </c>
      <c r="F5" s="198">
        <v>18</v>
      </c>
      <c r="G5" s="198">
        <v>23</v>
      </c>
      <c r="H5" s="198">
        <v>25</v>
      </c>
      <c r="I5" s="198">
        <v>27</v>
      </c>
      <c r="J5" s="198">
        <v>30</v>
      </c>
      <c r="K5" s="198">
        <v>23.5</v>
      </c>
      <c r="L5" s="198">
        <v>29.75</v>
      </c>
      <c r="M5" s="198">
        <v>23</v>
      </c>
      <c r="N5" s="198">
        <v>20</v>
      </c>
      <c r="O5" s="198">
        <v>20</v>
      </c>
      <c r="P5" s="199">
        <v>18</v>
      </c>
      <c r="Q5" s="160"/>
      <c r="R5" s="83"/>
      <c r="S5" s="179" t="s">
        <v>249</v>
      </c>
      <c r="T5" s="180" t="s">
        <v>196</v>
      </c>
      <c r="U5" s="181" t="s">
        <v>196</v>
      </c>
      <c r="V5" s="221"/>
      <c r="W5" s="221"/>
      <c r="X5" s="221"/>
    </row>
    <row r="6" spans="1:24" ht="15" customHeight="1" x14ac:dyDescent="0.25">
      <c r="A6" s="182">
        <v>30</v>
      </c>
      <c r="B6" s="353" t="s">
        <v>285</v>
      </c>
      <c r="C6" s="354"/>
      <c r="D6" s="196">
        <v>4.871666666666667</v>
      </c>
      <c r="E6" s="159">
        <v>4.9400000000000004</v>
      </c>
      <c r="F6" s="160">
        <v>4.29</v>
      </c>
      <c r="G6" s="160">
        <v>4.33</v>
      </c>
      <c r="H6" s="160">
        <v>4.49</v>
      </c>
      <c r="I6" s="160">
        <v>4.25</v>
      </c>
      <c r="J6" s="160">
        <v>5.3</v>
      </c>
      <c r="K6" s="160">
        <v>5.39</v>
      </c>
      <c r="L6" s="160">
        <v>6.13</v>
      </c>
      <c r="M6" s="160">
        <v>4.68</v>
      </c>
      <c r="N6" s="160">
        <v>4.6900000000000004</v>
      </c>
      <c r="O6" s="160">
        <v>4.9000000000000004</v>
      </c>
      <c r="P6" s="161">
        <v>5.07</v>
      </c>
      <c r="Q6" s="160"/>
      <c r="R6" s="83"/>
      <c r="S6" s="47">
        <v>1</v>
      </c>
      <c r="T6" s="183">
        <v>4.4000000000000004</v>
      </c>
      <c r="U6" s="184">
        <v>3.6</v>
      </c>
      <c r="V6" s="183"/>
      <c r="W6" s="183"/>
      <c r="X6" s="183"/>
    </row>
    <row r="7" spans="1:24" ht="15" customHeight="1" x14ac:dyDescent="0.25">
      <c r="A7" s="185">
        <v>15</v>
      </c>
      <c r="B7" s="355" t="s">
        <v>286</v>
      </c>
      <c r="C7" s="356"/>
      <c r="D7" s="200">
        <v>4.1258333333333326</v>
      </c>
      <c r="E7" s="163">
        <v>4.38</v>
      </c>
      <c r="F7" s="164">
        <v>3.73</v>
      </c>
      <c r="G7" s="164">
        <v>3.56</v>
      </c>
      <c r="H7" s="164">
        <v>3.6</v>
      </c>
      <c r="I7" s="164">
        <v>3.49</v>
      </c>
      <c r="J7" s="164">
        <v>4.25</v>
      </c>
      <c r="K7" s="164">
        <v>4.5599999999999996</v>
      </c>
      <c r="L7" s="164">
        <v>5.0999999999999996</v>
      </c>
      <c r="M7" s="164">
        <v>3.76</v>
      </c>
      <c r="N7" s="164">
        <v>3.88</v>
      </c>
      <c r="O7" s="164">
        <v>4.05</v>
      </c>
      <c r="P7" s="165">
        <v>4.1500000000000004</v>
      </c>
      <c r="Q7" s="160"/>
      <c r="R7" s="83"/>
      <c r="S7" s="47">
        <f>1+S6</f>
        <v>2</v>
      </c>
      <c r="T7" s="183">
        <v>4.4000000000000004</v>
      </c>
      <c r="U7" s="184">
        <v>3.6</v>
      </c>
      <c r="V7" s="183"/>
      <c r="W7" s="183"/>
      <c r="X7" s="183"/>
    </row>
    <row r="8" spans="1:24" ht="15" customHeight="1" x14ac:dyDescent="0.25"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S8" s="47">
        <f t="shared" ref="S8:S17" si="0">1+S7</f>
        <v>3</v>
      </c>
      <c r="T8" s="183">
        <v>4.3</v>
      </c>
      <c r="U8" s="184">
        <v>3.5</v>
      </c>
      <c r="V8" s="183"/>
      <c r="W8" s="183"/>
      <c r="X8" s="183"/>
    </row>
    <row r="9" spans="1:24" ht="15" customHeight="1" x14ac:dyDescent="0.25">
      <c r="A9" s="186">
        <v>16</v>
      </c>
      <c r="B9" s="229"/>
      <c r="C9" s="202" t="s">
        <v>278</v>
      </c>
      <c r="D9" s="203">
        <f>O17</f>
        <v>4.1901638220161788</v>
      </c>
      <c r="E9" s="204">
        <f t="shared" ref="E9:P9" si="1">(($A$9/$A$6)^$O$13)*E6</f>
        <v>4.2489379296804506</v>
      </c>
      <c r="F9" s="204">
        <f t="shared" si="1"/>
        <v>3.6898671494593382</v>
      </c>
      <c r="G9" s="204">
        <f t="shared" si="1"/>
        <v>3.7242715051652531</v>
      </c>
      <c r="H9" s="204">
        <f t="shared" si="1"/>
        <v>3.8618889279889115</v>
      </c>
      <c r="I9" s="204">
        <f t="shared" si="1"/>
        <v>3.6554627937534239</v>
      </c>
      <c r="J9" s="204">
        <f t="shared" si="1"/>
        <v>4.5585771310336813</v>
      </c>
      <c r="K9" s="204">
        <f t="shared" si="1"/>
        <v>4.6359869313719884</v>
      </c>
      <c r="L9" s="204">
        <f t="shared" si="1"/>
        <v>5.2724675119314082</v>
      </c>
      <c r="M9" s="204">
        <f t="shared" si="1"/>
        <v>4.0253096175920051</v>
      </c>
      <c r="N9" s="204">
        <f t="shared" si="1"/>
        <v>4.0339107065184843</v>
      </c>
      <c r="O9" s="204">
        <f t="shared" si="1"/>
        <v>4.2145335739745358</v>
      </c>
      <c r="P9" s="205">
        <f t="shared" si="1"/>
        <v>4.3607520857246724</v>
      </c>
      <c r="Q9" s="225"/>
      <c r="S9" s="47">
        <f t="shared" si="0"/>
        <v>4</v>
      </c>
      <c r="T9" s="183">
        <v>4.3</v>
      </c>
      <c r="U9" s="184">
        <v>3.5</v>
      </c>
      <c r="V9" s="183"/>
      <c r="W9" s="183"/>
      <c r="X9" s="183"/>
    </row>
    <row r="10" spans="1:24" ht="15" customHeight="1" x14ac:dyDescent="0.25">
      <c r="A10" s="187">
        <v>16</v>
      </c>
      <c r="B10" s="230"/>
      <c r="C10" s="206" t="s">
        <v>279</v>
      </c>
      <c r="D10" s="207">
        <f>O21</f>
        <v>4.2398931627746919</v>
      </c>
      <c r="E10" s="208">
        <f>E9^3</f>
        <v>76.7080884452768</v>
      </c>
      <c r="F10" s="208">
        <f t="shared" ref="F10:P10" si="2">F9^3</f>
        <v>50.237982476634919</v>
      </c>
      <c r="G10" s="208">
        <f t="shared" si="2"/>
        <v>51.656384091814523</v>
      </c>
      <c r="H10" s="208">
        <f t="shared" si="2"/>
        <v>57.596930139137356</v>
      </c>
      <c r="I10" s="208">
        <f t="shared" si="2"/>
        <v>48.845786143527029</v>
      </c>
      <c r="J10" s="208">
        <f t="shared" si="2"/>
        <v>94.730083988632572</v>
      </c>
      <c r="K10" s="208">
        <f t="shared" si="2"/>
        <v>99.638368826069538</v>
      </c>
      <c r="L10" s="208">
        <f t="shared" si="2"/>
        <v>146.56886916238838</v>
      </c>
      <c r="M10" s="208">
        <f t="shared" si="2"/>
        <v>65.222564778080482</v>
      </c>
      <c r="N10" s="208">
        <f t="shared" si="2"/>
        <v>65.64155214022901</v>
      </c>
      <c r="O10" s="208">
        <f t="shared" si="2"/>
        <v>74.859781236716458</v>
      </c>
      <c r="P10" s="209">
        <f t="shared" si="2"/>
        <v>82.92475394527942</v>
      </c>
      <c r="Q10" s="225"/>
      <c r="S10" s="47">
        <f t="shared" si="0"/>
        <v>5</v>
      </c>
      <c r="T10" s="183">
        <v>4.3</v>
      </c>
      <c r="U10" s="184">
        <v>3.5</v>
      </c>
      <c r="V10" s="183"/>
      <c r="W10" s="183"/>
      <c r="X10" s="183"/>
    </row>
    <row r="11" spans="1:24" ht="15" customHeight="1" x14ac:dyDescent="0.25">
      <c r="C11" s="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S11" s="47">
        <f t="shared" si="0"/>
        <v>6</v>
      </c>
      <c r="T11" s="183">
        <v>4.2</v>
      </c>
      <c r="U11" s="184">
        <v>3.5</v>
      </c>
      <c r="V11" s="183"/>
      <c r="W11" s="183"/>
      <c r="X11" s="183"/>
    </row>
    <row r="12" spans="1:24" ht="15" customHeight="1" x14ac:dyDescent="0.25">
      <c r="S12" s="47">
        <f t="shared" si="0"/>
        <v>7</v>
      </c>
      <c r="T12" s="183">
        <v>4.2</v>
      </c>
      <c r="U12" s="184">
        <v>3.4</v>
      </c>
      <c r="V12" s="183"/>
      <c r="W12" s="183"/>
      <c r="X12" s="183"/>
    </row>
    <row r="13" spans="1:24" ht="15" customHeight="1" x14ac:dyDescent="0.25">
      <c r="O13" s="375">
        <f>LN(D6/D7)/LN(A6/A7)</f>
        <v>0.23972987984389241</v>
      </c>
      <c r="P13" s="375"/>
      <c r="Q13" s="85" t="s">
        <v>250</v>
      </c>
      <c r="S13" s="47">
        <f t="shared" si="0"/>
        <v>8</v>
      </c>
      <c r="T13" s="183">
        <v>4.3</v>
      </c>
      <c r="U13" s="184">
        <v>3.5</v>
      </c>
      <c r="V13" s="183"/>
      <c r="W13" s="183"/>
      <c r="X13" s="183"/>
    </row>
    <row r="14" spans="1:24" ht="15" customHeight="1" x14ac:dyDescent="0.25">
      <c r="S14" s="47">
        <f t="shared" si="0"/>
        <v>9</v>
      </c>
      <c r="T14" s="183">
        <v>4.5</v>
      </c>
      <c r="U14" s="184">
        <v>3.75</v>
      </c>
      <c r="V14" s="373">
        <f>1/LN(2)</f>
        <v>1.4426950408889634</v>
      </c>
      <c r="W14" s="374"/>
      <c r="X14" s="183"/>
    </row>
    <row r="15" spans="1:24" ht="15" customHeight="1" x14ac:dyDescent="0.25">
      <c r="S15" s="47">
        <f t="shared" si="0"/>
        <v>10</v>
      </c>
      <c r="T15" s="183">
        <v>4.9000000000000004</v>
      </c>
      <c r="U15" s="184">
        <v>4.2</v>
      </c>
      <c r="V15" s="183"/>
      <c r="W15" s="183"/>
      <c r="X15" s="183"/>
    </row>
    <row r="16" spans="1:24" ht="15" customHeight="1" x14ac:dyDescent="0.25">
      <c r="A16" s="323" t="s">
        <v>283</v>
      </c>
      <c r="B16" s="333"/>
      <c r="C16" s="333"/>
      <c r="D16" s="333"/>
      <c r="E16" s="333"/>
      <c r="F16" s="334"/>
      <c r="S16" s="47">
        <f t="shared" si="0"/>
        <v>11</v>
      </c>
      <c r="T16" s="183">
        <v>5.25</v>
      </c>
      <c r="U16" s="184">
        <v>4.5</v>
      </c>
      <c r="V16" s="183"/>
      <c r="W16" s="183"/>
      <c r="X16" s="183"/>
    </row>
    <row r="17" spans="1:24" ht="15" customHeight="1" x14ac:dyDescent="0.25">
      <c r="A17" s="335"/>
      <c r="B17" s="336"/>
      <c r="C17" s="336"/>
      <c r="D17" s="336"/>
      <c r="E17" s="336"/>
      <c r="F17" s="337"/>
      <c r="O17" s="10">
        <f>SUM(E9:P9)/12</f>
        <v>4.1901638220161788</v>
      </c>
      <c r="P17" s="85" t="s">
        <v>251</v>
      </c>
      <c r="Q17" s="85"/>
      <c r="S17" s="47">
        <f t="shared" si="0"/>
        <v>12</v>
      </c>
      <c r="T17" s="183">
        <v>5.5</v>
      </c>
      <c r="U17" s="184">
        <v>4.75</v>
      </c>
      <c r="V17" s="183"/>
      <c r="W17" s="183"/>
      <c r="X17" s="183"/>
    </row>
    <row r="18" spans="1:24" ht="15" customHeight="1" x14ac:dyDescent="0.25">
      <c r="A18" s="211" t="s">
        <v>249</v>
      </c>
      <c r="B18" s="223"/>
      <c r="C18" s="211" t="s">
        <v>277</v>
      </c>
      <c r="D18" s="212" t="s">
        <v>280</v>
      </c>
      <c r="E18" s="213" t="s">
        <v>281</v>
      </c>
      <c r="F18" s="211" t="s">
        <v>282</v>
      </c>
      <c r="J18" s="60"/>
      <c r="S18" s="47">
        <f t="shared" ref="S18:S29" si="3">1+S17</f>
        <v>13</v>
      </c>
      <c r="T18" s="183">
        <v>5.6</v>
      </c>
      <c r="U18" s="184">
        <v>4.9000000000000004</v>
      </c>
      <c r="V18" s="183"/>
      <c r="W18" s="183"/>
      <c r="X18" s="183"/>
    </row>
    <row r="19" spans="1:24" ht="15" customHeight="1" x14ac:dyDescent="0.25">
      <c r="A19" s="214" t="s">
        <v>213</v>
      </c>
      <c r="B19" s="214"/>
      <c r="C19" s="215">
        <v>22</v>
      </c>
      <c r="D19" s="197">
        <v>4.9400000000000004</v>
      </c>
      <c r="E19" s="199">
        <v>4.38</v>
      </c>
      <c r="F19" s="216">
        <v>4.2489379296804506</v>
      </c>
      <c r="S19" s="47">
        <f t="shared" si="3"/>
        <v>14</v>
      </c>
      <c r="T19" s="183">
        <v>5.7</v>
      </c>
      <c r="U19" s="184">
        <v>5</v>
      </c>
      <c r="V19" s="183"/>
      <c r="W19" s="183"/>
      <c r="X19" s="183"/>
    </row>
    <row r="20" spans="1:24" ht="15" customHeight="1" x14ac:dyDescent="0.25">
      <c r="A20" s="214" t="s">
        <v>214</v>
      </c>
      <c r="B20" s="214"/>
      <c r="C20" s="215">
        <v>18</v>
      </c>
      <c r="D20" s="159">
        <v>4.29</v>
      </c>
      <c r="E20" s="161">
        <v>3.73</v>
      </c>
      <c r="F20" s="216">
        <v>3.6898671494593382</v>
      </c>
      <c r="H20" s="83"/>
      <c r="S20" s="47">
        <f t="shared" si="3"/>
        <v>15</v>
      </c>
      <c r="T20" s="183">
        <v>5.7</v>
      </c>
      <c r="U20" s="184">
        <v>5</v>
      </c>
      <c r="V20" s="183"/>
      <c r="W20" s="183"/>
      <c r="X20" s="183"/>
    </row>
    <row r="21" spans="1:24" ht="15" customHeight="1" x14ac:dyDescent="0.25">
      <c r="A21" s="217" t="s">
        <v>215</v>
      </c>
      <c r="B21" s="217"/>
      <c r="C21" s="215">
        <v>23</v>
      </c>
      <c r="D21" s="159">
        <v>4.33</v>
      </c>
      <c r="E21" s="161">
        <v>3.56</v>
      </c>
      <c r="F21" s="216">
        <v>3.7242715051652531</v>
      </c>
      <c r="H21" s="188"/>
      <c r="O21" s="10">
        <f>((SUM(E10:P10))/12)^(1/3)</f>
        <v>4.2398931627746919</v>
      </c>
      <c r="P21" s="85" t="s">
        <v>251</v>
      </c>
      <c r="Q21" s="85"/>
      <c r="S21" s="47">
        <f t="shared" si="3"/>
        <v>16</v>
      </c>
      <c r="T21" s="183">
        <v>5.6</v>
      </c>
      <c r="U21" s="184">
        <v>4.95</v>
      </c>
      <c r="V21" s="183"/>
      <c r="W21" s="183"/>
      <c r="X21" s="183"/>
    </row>
    <row r="22" spans="1:24" ht="15" customHeight="1" x14ac:dyDescent="0.25">
      <c r="A22" s="217" t="s">
        <v>216</v>
      </c>
      <c r="B22" s="217"/>
      <c r="C22" s="215">
        <v>25</v>
      </c>
      <c r="D22" s="159">
        <v>4.49</v>
      </c>
      <c r="E22" s="161">
        <v>3.6</v>
      </c>
      <c r="F22" s="216">
        <v>3.8618889279889115</v>
      </c>
      <c r="H22" s="189"/>
      <c r="J22" s="60"/>
      <c r="S22" s="47">
        <f t="shared" si="3"/>
        <v>17</v>
      </c>
      <c r="T22" s="183">
        <v>5.5</v>
      </c>
      <c r="U22" s="184">
        <v>4.8</v>
      </c>
      <c r="V22" s="183"/>
      <c r="W22" s="183"/>
      <c r="X22" s="183"/>
    </row>
    <row r="23" spans="1:24" ht="15" customHeight="1" x14ac:dyDescent="0.25">
      <c r="A23" s="217" t="s">
        <v>217</v>
      </c>
      <c r="B23" s="217"/>
      <c r="C23" s="215">
        <v>27</v>
      </c>
      <c r="D23" s="159">
        <v>4.25</v>
      </c>
      <c r="E23" s="161">
        <v>3.49</v>
      </c>
      <c r="F23" s="216">
        <v>3.6554627937534239</v>
      </c>
      <c r="H23" s="75" t="s">
        <v>252</v>
      </c>
      <c r="S23" s="47">
        <f t="shared" si="3"/>
        <v>18</v>
      </c>
      <c r="T23" s="183">
        <v>5.25</v>
      </c>
      <c r="U23" s="184">
        <v>4.5</v>
      </c>
      <c r="V23" s="183"/>
      <c r="W23" s="183"/>
      <c r="X23" s="183"/>
    </row>
    <row r="24" spans="1:24" ht="15" customHeight="1" x14ac:dyDescent="0.25">
      <c r="A24" s="217" t="s">
        <v>218</v>
      </c>
      <c r="B24" s="217"/>
      <c r="C24" s="215">
        <v>30</v>
      </c>
      <c r="D24" s="159">
        <v>5.3</v>
      </c>
      <c r="E24" s="161">
        <v>4.25</v>
      </c>
      <c r="F24" s="216">
        <v>4.5585771310336813</v>
      </c>
      <c r="S24" s="47">
        <f t="shared" si="3"/>
        <v>19</v>
      </c>
      <c r="T24" s="183">
        <v>5</v>
      </c>
      <c r="U24" s="184">
        <v>4.25</v>
      </c>
      <c r="V24" s="183"/>
      <c r="W24" s="183"/>
      <c r="X24" s="183"/>
    </row>
    <row r="25" spans="1:24" ht="15" customHeight="1" x14ac:dyDescent="0.25">
      <c r="A25" s="217" t="s">
        <v>219</v>
      </c>
      <c r="B25" s="217"/>
      <c r="C25" s="215">
        <v>23.5</v>
      </c>
      <c r="D25" s="159">
        <v>5.39</v>
      </c>
      <c r="E25" s="161">
        <v>4.5599999999999996</v>
      </c>
      <c r="F25" s="216">
        <v>4.6359869313719884</v>
      </c>
      <c r="S25" s="47">
        <f t="shared" si="3"/>
        <v>20</v>
      </c>
      <c r="T25" s="183">
        <v>4.8</v>
      </c>
      <c r="U25" s="184">
        <v>4</v>
      </c>
      <c r="V25" s="183"/>
      <c r="W25" s="183"/>
      <c r="X25" s="183"/>
    </row>
    <row r="26" spans="1:24" ht="15" customHeight="1" x14ac:dyDescent="0.25">
      <c r="A26" s="217" t="s">
        <v>220</v>
      </c>
      <c r="B26" s="217"/>
      <c r="C26" s="215">
        <v>29.75</v>
      </c>
      <c r="D26" s="159">
        <v>6.13</v>
      </c>
      <c r="E26" s="161">
        <v>5.0999999999999996</v>
      </c>
      <c r="F26" s="216">
        <v>5.2724675119314082</v>
      </c>
      <c r="S26" s="47">
        <f t="shared" si="3"/>
        <v>21</v>
      </c>
      <c r="T26" s="183">
        <v>4.5999999999999996</v>
      </c>
      <c r="U26" s="184">
        <v>3.75</v>
      </c>
      <c r="V26" s="183"/>
      <c r="W26" s="183"/>
      <c r="X26" s="183"/>
    </row>
    <row r="27" spans="1:24" ht="15" customHeight="1" x14ac:dyDescent="0.25">
      <c r="A27" s="217" t="s">
        <v>221</v>
      </c>
      <c r="B27" s="217"/>
      <c r="C27" s="215">
        <v>23</v>
      </c>
      <c r="D27" s="159">
        <v>4.68</v>
      </c>
      <c r="E27" s="161">
        <v>3.76</v>
      </c>
      <c r="F27" s="216">
        <v>4.0253096175920051</v>
      </c>
      <c r="S27" s="47">
        <f t="shared" si="3"/>
        <v>22</v>
      </c>
      <c r="T27" s="183">
        <v>4.5</v>
      </c>
      <c r="U27" s="184">
        <v>3.7</v>
      </c>
      <c r="V27" s="183"/>
      <c r="W27" s="183"/>
      <c r="X27" s="183"/>
    </row>
    <row r="28" spans="1:24" ht="15" customHeight="1" x14ac:dyDescent="0.25">
      <c r="A28" s="217" t="s">
        <v>222</v>
      </c>
      <c r="B28" s="217"/>
      <c r="C28" s="215">
        <v>20</v>
      </c>
      <c r="D28" s="159">
        <v>4.6900000000000004</v>
      </c>
      <c r="E28" s="161">
        <v>3.88</v>
      </c>
      <c r="F28" s="216">
        <v>4.0339107065184843</v>
      </c>
      <c r="O28" s="190">
        <f>C34*(O21/C35)^3</f>
        <v>0.15437929247724988</v>
      </c>
      <c r="P28" s="85" t="s">
        <v>253</v>
      </c>
      <c r="Q28" s="85"/>
      <c r="S28" s="47">
        <f t="shared" si="3"/>
        <v>23</v>
      </c>
      <c r="T28" s="183">
        <v>4.4000000000000004</v>
      </c>
      <c r="U28" s="184">
        <v>3.6</v>
      </c>
      <c r="V28" s="183"/>
      <c r="W28" s="183"/>
      <c r="X28" s="183"/>
    </row>
    <row r="29" spans="1:24" ht="15" customHeight="1" x14ac:dyDescent="0.25">
      <c r="A29" s="217" t="s">
        <v>223</v>
      </c>
      <c r="B29" s="217"/>
      <c r="C29" s="215">
        <v>20</v>
      </c>
      <c r="D29" s="159">
        <v>4.9000000000000004</v>
      </c>
      <c r="E29" s="161">
        <v>4.05</v>
      </c>
      <c r="F29" s="216">
        <v>4.2145335739745358</v>
      </c>
      <c r="S29" s="48">
        <f t="shared" si="3"/>
        <v>24</v>
      </c>
      <c r="T29" s="191">
        <v>4.4000000000000004</v>
      </c>
      <c r="U29" s="192">
        <v>3.6</v>
      </c>
      <c r="V29" s="183"/>
      <c r="W29" s="183"/>
      <c r="X29" s="183"/>
    </row>
    <row r="30" spans="1:24" ht="15" customHeight="1" x14ac:dyDescent="0.25">
      <c r="A30" s="218" t="s">
        <v>224</v>
      </c>
      <c r="B30" s="218"/>
      <c r="C30" s="219">
        <v>18</v>
      </c>
      <c r="D30" s="163">
        <v>5.07</v>
      </c>
      <c r="E30" s="165">
        <v>4.1500000000000004</v>
      </c>
      <c r="F30" s="220">
        <v>4.3607520857246724</v>
      </c>
    </row>
    <row r="32" spans="1:24" ht="15" customHeight="1" x14ac:dyDescent="0.25">
      <c r="A32" s="222"/>
      <c r="B32"/>
    </row>
    <row r="33" spans="1:24" ht="15" customHeight="1" x14ac:dyDescent="0.25">
      <c r="A33" s="222"/>
      <c r="B33" s="75" t="s">
        <v>254</v>
      </c>
      <c r="G33" s="75" t="s">
        <v>255</v>
      </c>
      <c r="P33" s="222"/>
      <c r="Q33"/>
    </row>
    <row r="34" spans="1:24" ht="15" customHeight="1" x14ac:dyDescent="0.25">
      <c r="A34" s="222"/>
      <c r="B34" s="162" t="s">
        <v>197</v>
      </c>
      <c r="C34" s="61">
        <v>3.5</v>
      </c>
      <c r="D34" s="85" t="s">
        <v>253</v>
      </c>
      <c r="P34" s="222"/>
      <c r="Q34"/>
    </row>
    <row r="35" spans="1:24" ht="15" customHeight="1" x14ac:dyDescent="0.25">
      <c r="A35" s="222"/>
      <c r="B35" s="162" t="s">
        <v>198</v>
      </c>
      <c r="C35" s="1">
        <v>12</v>
      </c>
      <c r="D35" s="85" t="s">
        <v>251</v>
      </c>
      <c r="K35" s="65">
        <f>O28*24</f>
        <v>3.7051030194539969</v>
      </c>
      <c r="L35" s="85" t="s">
        <v>256</v>
      </c>
      <c r="P35" s="222"/>
      <c r="Q35"/>
      <c r="S35" s="5">
        <f>O28*8760</f>
        <v>1352.362602100709</v>
      </c>
      <c r="T35" s="85" t="s">
        <v>259</v>
      </c>
      <c r="U35" s="85"/>
    </row>
    <row r="36" spans="1:24" ht="15" customHeight="1" x14ac:dyDescent="0.25">
      <c r="A36" s="222"/>
      <c r="B36" s="162" t="s">
        <v>257</v>
      </c>
      <c r="C36" s="1">
        <v>4.0999999999999996</v>
      </c>
      <c r="D36" s="85" t="s">
        <v>258</v>
      </c>
      <c r="P36" s="222"/>
      <c r="Q36"/>
    </row>
    <row r="37" spans="1:24" ht="15" customHeight="1" x14ac:dyDescent="0.25">
      <c r="A37" s="222"/>
      <c r="B37" s="162" t="s">
        <v>165</v>
      </c>
      <c r="C37" s="61">
        <v>4</v>
      </c>
      <c r="D37" s="85" t="s">
        <v>253</v>
      </c>
      <c r="I37" s="75" t="s">
        <v>201</v>
      </c>
      <c r="P37" s="222"/>
      <c r="Q37"/>
    </row>
    <row r="38" spans="1:24" ht="15" customHeight="1" x14ac:dyDescent="0.25">
      <c r="A38" s="222"/>
      <c r="B38" s="162" t="s">
        <v>260</v>
      </c>
      <c r="C38" s="1">
        <v>25</v>
      </c>
      <c r="D38" s="85" t="s">
        <v>251</v>
      </c>
      <c r="L38" s="11" t="s">
        <v>261</v>
      </c>
      <c r="N38" s="60" t="s">
        <v>262</v>
      </c>
      <c r="O38" s="1">
        <v>78</v>
      </c>
      <c r="P38" t="s">
        <v>263</v>
      </c>
      <c r="W38" s="85"/>
      <c r="X38" s="85"/>
    </row>
    <row r="39" spans="1:24" ht="15" customHeight="1" x14ac:dyDescent="0.25">
      <c r="A39" s="222"/>
      <c r="B39"/>
      <c r="L39" s="11" t="s">
        <v>265</v>
      </c>
      <c r="N39" s="60" t="s">
        <v>266</v>
      </c>
      <c r="O39" s="1">
        <v>21</v>
      </c>
      <c r="P39" t="s">
        <v>263</v>
      </c>
    </row>
    <row r="40" spans="1:24" ht="15" customHeight="1" x14ac:dyDescent="0.25">
      <c r="A40" s="222"/>
      <c r="B40" s="193" t="s">
        <v>264</v>
      </c>
      <c r="C40" s="1">
        <v>0.85</v>
      </c>
      <c r="D40" s="85" t="s">
        <v>250</v>
      </c>
      <c r="L40" s="11" t="s">
        <v>267</v>
      </c>
      <c r="N40" s="60" t="s">
        <v>268</v>
      </c>
      <c r="O40" s="1">
        <v>1</v>
      </c>
      <c r="P40" t="s">
        <v>263</v>
      </c>
    </row>
    <row r="41" spans="1:24" ht="15" customHeight="1" x14ac:dyDescent="0.25">
      <c r="A41" s="222"/>
      <c r="B41" s="162" t="s">
        <v>129</v>
      </c>
      <c r="C41" s="1">
        <v>16</v>
      </c>
      <c r="D41" s="85" t="s">
        <v>258</v>
      </c>
      <c r="L41" s="11" t="s">
        <v>208</v>
      </c>
      <c r="N41" s="60" t="s">
        <v>270</v>
      </c>
      <c r="O41" s="65">
        <f>2*14</f>
        <v>28</v>
      </c>
      <c r="P41" s="13" t="s">
        <v>44</v>
      </c>
    </row>
    <row r="42" spans="1:24" ht="15" customHeight="1" x14ac:dyDescent="0.25">
      <c r="A42" s="222"/>
      <c r="B42" s="193" t="s">
        <v>269</v>
      </c>
      <c r="C42" s="1">
        <v>0.59</v>
      </c>
      <c r="D42" s="85" t="s">
        <v>250</v>
      </c>
      <c r="L42" s="11" t="s">
        <v>209</v>
      </c>
      <c r="N42" s="60" t="s">
        <v>272</v>
      </c>
      <c r="O42" s="65">
        <f>2*16</f>
        <v>32</v>
      </c>
      <c r="P42" s="13" t="s">
        <v>44</v>
      </c>
    </row>
    <row r="43" spans="1:24" ht="15" customHeight="1" x14ac:dyDescent="0.25">
      <c r="A43" s="222"/>
      <c r="B43" s="162" t="s">
        <v>271</v>
      </c>
      <c r="C43" s="194">
        <f>O44/O45</f>
        <v>1.2928571428571429</v>
      </c>
      <c r="D43" s="13" t="s">
        <v>202</v>
      </c>
      <c r="L43" s="11" t="s">
        <v>273</v>
      </c>
      <c r="N43" s="60" t="s">
        <v>274</v>
      </c>
      <c r="O43" s="65">
        <v>40</v>
      </c>
      <c r="P43" s="13" t="s">
        <v>44</v>
      </c>
    </row>
    <row r="44" spans="1:24" ht="15" customHeight="1" x14ac:dyDescent="0.25">
      <c r="N44" s="60" t="s">
        <v>275</v>
      </c>
      <c r="O44" s="65">
        <f>(O38*O41+O39*O42+O40*O43)/100</f>
        <v>28.96</v>
      </c>
      <c r="P44" s="13" t="s">
        <v>44</v>
      </c>
    </row>
    <row r="45" spans="1:24" ht="15" customHeight="1" x14ac:dyDescent="0.25">
      <c r="N45" s="60" t="s">
        <v>276</v>
      </c>
      <c r="O45" s="1">
        <v>22.4</v>
      </c>
      <c r="P45" s="13" t="s">
        <v>193</v>
      </c>
    </row>
    <row r="46" spans="1:24" s="222" customFormat="1" ht="15" customHeight="1" x14ac:dyDescent="0.25">
      <c r="O46" s="60"/>
      <c r="P46" s="1"/>
      <c r="Q46" s="1"/>
      <c r="R46" s="13"/>
    </row>
    <row r="47" spans="1:24" s="222" customFormat="1" ht="15" customHeight="1" x14ac:dyDescent="0.25">
      <c r="A47" s="338" t="s">
        <v>287</v>
      </c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40"/>
      <c r="Q47" s="1"/>
      <c r="R47" s="13"/>
    </row>
    <row r="48" spans="1:24" s="222" customFormat="1" ht="15" customHeight="1" x14ac:dyDescent="0.25">
      <c r="A48" s="341"/>
      <c r="B48" s="342"/>
      <c r="C48" s="342"/>
      <c r="D48" s="342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1"/>
      <c r="R48" s="13"/>
    </row>
    <row r="49" spans="1:19" s="222" customFormat="1" ht="15" customHeight="1" x14ac:dyDescent="0.25">
      <c r="A49" s="349" t="s">
        <v>246</v>
      </c>
      <c r="B49" s="350"/>
      <c r="C49" s="333" t="s">
        <v>291</v>
      </c>
      <c r="D49" s="334"/>
      <c r="E49" s="319">
        <v>1</v>
      </c>
      <c r="F49" s="319">
        <f>1+E49</f>
        <v>2</v>
      </c>
      <c r="G49" s="319">
        <f t="shared" ref="G49:P49" si="4">1+F49</f>
        <v>3</v>
      </c>
      <c r="H49" s="319">
        <f t="shared" si="4"/>
        <v>4</v>
      </c>
      <c r="I49" s="319">
        <f t="shared" si="4"/>
        <v>5</v>
      </c>
      <c r="J49" s="319">
        <f t="shared" si="4"/>
        <v>6</v>
      </c>
      <c r="K49" s="319">
        <f t="shared" si="4"/>
        <v>7</v>
      </c>
      <c r="L49" s="319">
        <f t="shared" si="4"/>
        <v>8</v>
      </c>
      <c r="M49" s="319">
        <f t="shared" si="4"/>
        <v>9</v>
      </c>
      <c r="N49" s="319">
        <f t="shared" si="4"/>
        <v>10</v>
      </c>
      <c r="O49" s="319">
        <f t="shared" si="4"/>
        <v>11</v>
      </c>
      <c r="P49" s="347">
        <f t="shared" si="4"/>
        <v>12</v>
      </c>
      <c r="R49" s="13"/>
    </row>
    <row r="50" spans="1:19" s="222" customFormat="1" ht="15" customHeight="1" x14ac:dyDescent="0.25">
      <c r="A50" s="351"/>
      <c r="B50" s="352"/>
      <c r="C50" s="336"/>
      <c r="D50" s="337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60"/>
      <c r="R50" s="13"/>
    </row>
    <row r="51" spans="1:19" s="222" customFormat="1" ht="15" customHeight="1" x14ac:dyDescent="0.25">
      <c r="A51" s="182">
        <v>30</v>
      </c>
      <c r="B51" s="365" t="s">
        <v>289</v>
      </c>
      <c r="C51" s="366"/>
      <c r="D51" s="366"/>
      <c r="E51" s="197">
        <v>4.4000000000000004</v>
      </c>
      <c r="F51" s="198">
        <v>4.4000000000000004</v>
      </c>
      <c r="G51" s="198">
        <v>4.3</v>
      </c>
      <c r="H51" s="198">
        <v>4.3</v>
      </c>
      <c r="I51" s="198">
        <v>4.3</v>
      </c>
      <c r="J51" s="198">
        <v>4.2</v>
      </c>
      <c r="K51" s="198">
        <v>4.2</v>
      </c>
      <c r="L51" s="198">
        <v>4.3</v>
      </c>
      <c r="M51" s="198">
        <v>4.5</v>
      </c>
      <c r="N51" s="198">
        <v>4.9000000000000004</v>
      </c>
      <c r="O51" s="198">
        <v>5.25</v>
      </c>
      <c r="P51" s="199">
        <v>5.5</v>
      </c>
    </row>
    <row r="52" spans="1:19" s="222" customFormat="1" ht="15" customHeight="1" x14ac:dyDescent="0.25">
      <c r="A52" s="185">
        <v>15</v>
      </c>
      <c r="B52" s="368" t="s">
        <v>290</v>
      </c>
      <c r="C52" s="372"/>
      <c r="D52" s="372"/>
      <c r="E52" s="163">
        <v>3.6</v>
      </c>
      <c r="F52" s="164">
        <v>3.6</v>
      </c>
      <c r="G52" s="164">
        <v>3.5</v>
      </c>
      <c r="H52" s="164">
        <v>3.5</v>
      </c>
      <c r="I52" s="164">
        <v>3.5</v>
      </c>
      <c r="J52" s="164">
        <v>3.5</v>
      </c>
      <c r="K52" s="164">
        <v>3.4</v>
      </c>
      <c r="L52" s="164">
        <v>3.5</v>
      </c>
      <c r="M52" s="164">
        <v>3.75</v>
      </c>
      <c r="N52" s="164">
        <v>4.2</v>
      </c>
      <c r="O52" s="164">
        <v>4.5</v>
      </c>
      <c r="P52" s="165">
        <v>4.75</v>
      </c>
    </row>
    <row r="53" spans="1:19" ht="15" customHeight="1" x14ac:dyDescent="0.25">
      <c r="A53" s="349" t="s">
        <v>246</v>
      </c>
      <c r="B53" s="350"/>
      <c r="C53" s="333" t="s">
        <v>291</v>
      </c>
      <c r="D53" s="334"/>
      <c r="E53" s="380">
        <f>1+P49</f>
        <v>13</v>
      </c>
      <c r="F53" s="320">
        <f>1+E53</f>
        <v>14</v>
      </c>
      <c r="G53" s="320">
        <f t="shared" ref="G53:P53" si="5">1+F53</f>
        <v>15</v>
      </c>
      <c r="H53" s="320">
        <f t="shared" si="5"/>
        <v>16</v>
      </c>
      <c r="I53" s="320">
        <f t="shared" si="5"/>
        <v>17</v>
      </c>
      <c r="J53" s="320">
        <f t="shared" si="5"/>
        <v>18</v>
      </c>
      <c r="K53" s="320">
        <f t="shared" si="5"/>
        <v>19</v>
      </c>
      <c r="L53" s="320">
        <f t="shared" si="5"/>
        <v>20</v>
      </c>
      <c r="M53" s="320">
        <f t="shared" si="5"/>
        <v>21</v>
      </c>
      <c r="N53" s="320">
        <f t="shared" si="5"/>
        <v>22</v>
      </c>
      <c r="O53" s="320">
        <f t="shared" si="5"/>
        <v>23</v>
      </c>
      <c r="P53" s="360">
        <f t="shared" si="5"/>
        <v>24</v>
      </c>
      <c r="Q53" s="83"/>
      <c r="R53" s="83"/>
      <c r="S53" s="83"/>
    </row>
    <row r="54" spans="1:19" ht="15" customHeight="1" x14ac:dyDescent="0.25">
      <c r="A54" s="351"/>
      <c r="B54" s="352"/>
      <c r="C54" s="336"/>
      <c r="D54" s="337"/>
      <c r="E54" s="38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60"/>
      <c r="Q54" s="226"/>
      <c r="R54" s="226"/>
      <c r="S54" s="83"/>
    </row>
    <row r="55" spans="1:19" ht="15" customHeight="1" x14ac:dyDescent="0.25">
      <c r="A55" s="182">
        <v>30</v>
      </c>
      <c r="B55" s="365" t="s">
        <v>289</v>
      </c>
      <c r="C55" s="366"/>
      <c r="D55" s="366"/>
      <c r="E55" s="197">
        <v>5.6</v>
      </c>
      <c r="F55" s="198">
        <v>5.7</v>
      </c>
      <c r="G55" s="198">
        <v>5.7</v>
      </c>
      <c r="H55" s="198">
        <v>5.6</v>
      </c>
      <c r="I55" s="198">
        <v>5.5</v>
      </c>
      <c r="J55" s="198">
        <v>5.25</v>
      </c>
      <c r="K55" s="198">
        <v>5</v>
      </c>
      <c r="L55" s="198">
        <v>4.8</v>
      </c>
      <c r="M55" s="198">
        <v>4.5999999999999996</v>
      </c>
      <c r="N55" s="198">
        <v>4.5</v>
      </c>
      <c r="O55" s="198">
        <v>4.4000000000000004</v>
      </c>
      <c r="P55" s="199">
        <v>4.4000000000000004</v>
      </c>
      <c r="Q55" s="226"/>
      <c r="R55" s="226"/>
      <c r="S55" s="83"/>
    </row>
    <row r="56" spans="1:19" ht="15" customHeight="1" x14ac:dyDescent="0.25">
      <c r="A56" s="185">
        <v>15</v>
      </c>
      <c r="B56" s="368" t="s">
        <v>290</v>
      </c>
      <c r="C56" s="372"/>
      <c r="D56" s="372"/>
      <c r="E56" s="163">
        <v>4.9000000000000004</v>
      </c>
      <c r="F56" s="164">
        <v>5</v>
      </c>
      <c r="G56" s="164">
        <v>5</v>
      </c>
      <c r="H56" s="164">
        <v>4.95</v>
      </c>
      <c r="I56" s="164">
        <v>4.8</v>
      </c>
      <c r="J56" s="164">
        <v>4.5</v>
      </c>
      <c r="K56" s="164">
        <v>4.25</v>
      </c>
      <c r="L56" s="164">
        <v>4</v>
      </c>
      <c r="M56" s="164">
        <v>3.75</v>
      </c>
      <c r="N56" s="164">
        <v>3.7</v>
      </c>
      <c r="O56" s="164">
        <v>3.6</v>
      </c>
      <c r="P56" s="165">
        <v>3.6</v>
      </c>
      <c r="Q56" s="231"/>
      <c r="R56" s="83"/>
      <c r="S56" s="83"/>
    </row>
    <row r="57" spans="1:19" ht="15" customHeight="1" x14ac:dyDescent="0.25">
      <c r="A57" s="234"/>
      <c r="B57" s="234"/>
      <c r="C57" s="234"/>
      <c r="D57" s="233"/>
      <c r="E57" s="233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83"/>
      <c r="S57" s="83"/>
    </row>
    <row r="58" spans="1:19" ht="15" customHeight="1" x14ac:dyDescent="0.25">
      <c r="A58" s="234"/>
      <c r="B58" s="234"/>
      <c r="C58" s="234"/>
      <c r="D58" s="233"/>
      <c r="E58" s="233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83"/>
      <c r="S58" s="83"/>
    </row>
    <row r="59" spans="1:19" ht="15" customHeight="1" x14ac:dyDescent="0.25">
      <c r="A59" s="338" t="s">
        <v>296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40"/>
      <c r="Q59" s="228"/>
      <c r="R59" s="83"/>
      <c r="S59" s="241"/>
    </row>
    <row r="60" spans="1:19" ht="15" customHeight="1" x14ac:dyDescent="0.25">
      <c r="A60" s="341"/>
      <c r="B60" s="342"/>
      <c r="C60" s="342"/>
      <c r="D60" s="342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4"/>
      <c r="Q60" s="231"/>
      <c r="R60" s="83"/>
      <c r="S60" s="83"/>
    </row>
    <row r="61" spans="1:19" ht="15" customHeight="1" x14ac:dyDescent="0.25">
      <c r="A61" s="361" t="s">
        <v>297</v>
      </c>
      <c r="B61" s="362"/>
      <c r="C61" s="333" t="s">
        <v>288</v>
      </c>
      <c r="D61" s="345">
        <f>$D$3</f>
        <v>0.23972987984389241</v>
      </c>
      <c r="E61" s="319" t="s">
        <v>213</v>
      </c>
      <c r="F61" s="319" t="s">
        <v>214</v>
      </c>
      <c r="G61" s="319" t="s">
        <v>215</v>
      </c>
      <c r="H61" s="319" t="s">
        <v>216</v>
      </c>
      <c r="I61" s="319" t="s">
        <v>217</v>
      </c>
      <c r="J61" s="319" t="s">
        <v>218</v>
      </c>
      <c r="K61" s="319" t="s">
        <v>219</v>
      </c>
      <c r="L61" s="319" t="s">
        <v>220</v>
      </c>
      <c r="M61" s="319" t="s">
        <v>221</v>
      </c>
      <c r="N61" s="319" t="s">
        <v>222</v>
      </c>
      <c r="O61" s="319" t="s">
        <v>223</v>
      </c>
      <c r="P61" s="347" t="s">
        <v>224</v>
      </c>
      <c r="Q61" s="232"/>
      <c r="R61" s="83"/>
      <c r="S61" s="83"/>
    </row>
    <row r="62" spans="1:19" ht="15" customHeight="1" x14ac:dyDescent="0.25">
      <c r="A62" s="376"/>
      <c r="B62" s="377"/>
      <c r="C62" s="378"/>
      <c r="D62" s="379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60"/>
      <c r="Q62" s="232"/>
      <c r="R62" s="83"/>
      <c r="S62" s="83"/>
    </row>
    <row r="63" spans="1:19" ht="15" customHeight="1" x14ac:dyDescent="0.25">
      <c r="A63" s="370">
        <v>16</v>
      </c>
      <c r="B63" s="365" t="s">
        <v>292</v>
      </c>
      <c r="C63" s="367"/>
      <c r="D63" s="203">
        <f>(SUM(E63:P63))/12</f>
        <v>4.1901638220161788</v>
      </c>
      <c r="E63" s="235">
        <f t="shared" ref="E63:P63" si="6">(($A$63/$A$6)^$D$61)*E6</f>
        <v>4.2489379296804506</v>
      </c>
      <c r="F63" s="236">
        <f t="shared" si="6"/>
        <v>3.6898671494593382</v>
      </c>
      <c r="G63" s="236">
        <f t="shared" si="6"/>
        <v>3.7242715051652531</v>
      </c>
      <c r="H63" s="236">
        <f t="shared" si="6"/>
        <v>3.8618889279889115</v>
      </c>
      <c r="I63" s="236">
        <f t="shared" si="6"/>
        <v>3.6554627937534239</v>
      </c>
      <c r="J63" s="236">
        <f t="shared" si="6"/>
        <v>4.5585771310336813</v>
      </c>
      <c r="K63" s="236">
        <f t="shared" si="6"/>
        <v>4.6359869313719884</v>
      </c>
      <c r="L63" s="236">
        <f t="shared" si="6"/>
        <v>5.2724675119314082</v>
      </c>
      <c r="M63" s="236">
        <f t="shared" si="6"/>
        <v>4.0253096175920051</v>
      </c>
      <c r="N63" s="236">
        <f t="shared" si="6"/>
        <v>4.0339107065184843</v>
      </c>
      <c r="O63" s="236">
        <f t="shared" si="6"/>
        <v>4.2145335739745358</v>
      </c>
      <c r="P63" s="237">
        <f t="shared" si="6"/>
        <v>4.3607520857246724</v>
      </c>
      <c r="Q63" s="83"/>
      <c r="R63" s="83"/>
      <c r="S63" s="83"/>
    </row>
    <row r="64" spans="1:19" ht="15" customHeight="1" x14ac:dyDescent="0.25">
      <c r="A64" s="371"/>
      <c r="B64" s="368" t="s">
        <v>293</v>
      </c>
      <c r="C64" s="369"/>
      <c r="D64" s="207">
        <f>((SUM(E64:P64))/12)^(1/3)</f>
        <v>4.2398931627746919</v>
      </c>
      <c r="E64" s="238">
        <f>E63^3</f>
        <v>76.7080884452768</v>
      </c>
      <c r="F64" s="239">
        <f t="shared" ref="F64:P64" si="7">F63^3</f>
        <v>50.237982476634919</v>
      </c>
      <c r="G64" s="239">
        <f t="shared" si="7"/>
        <v>51.656384091814523</v>
      </c>
      <c r="H64" s="239">
        <f t="shared" si="7"/>
        <v>57.596930139137356</v>
      </c>
      <c r="I64" s="239">
        <f t="shared" si="7"/>
        <v>48.845786143527029</v>
      </c>
      <c r="J64" s="239">
        <f t="shared" si="7"/>
        <v>94.730083988632572</v>
      </c>
      <c r="K64" s="239">
        <f t="shared" si="7"/>
        <v>99.638368826069538</v>
      </c>
      <c r="L64" s="239">
        <f t="shared" si="7"/>
        <v>146.56886916238838</v>
      </c>
      <c r="M64" s="239">
        <f t="shared" si="7"/>
        <v>65.222564778080482</v>
      </c>
      <c r="N64" s="239">
        <f t="shared" si="7"/>
        <v>65.64155214022901</v>
      </c>
      <c r="O64" s="239">
        <f t="shared" si="7"/>
        <v>74.859781236716458</v>
      </c>
      <c r="P64" s="240">
        <f t="shared" si="7"/>
        <v>82.92475394527942</v>
      </c>
      <c r="Q64" s="357">
        <f>D64/D63</f>
        <v>1.0118681137231968</v>
      </c>
      <c r="R64" s="358"/>
      <c r="S64" s="83"/>
    </row>
    <row r="65" spans="1:20" ht="15" customHeight="1" x14ac:dyDescent="0.25">
      <c r="A65" s="227"/>
      <c r="B65" s="227"/>
      <c r="C65" s="227"/>
      <c r="D65" s="227"/>
      <c r="E65" s="227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83"/>
      <c r="S65" s="83"/>
    </row>
    <row r="66" spans="1:20" ht="15" customHeight="1" x14ac:dyDescent="0.25">
      <c r="A66" s="338" t="s">
        <v>295</v>
      </c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40"/>
      <c r="Q66" s="183"/>
      <c r="R66" s="83"/>
      <c r="S66" s="83"/>
    </row>
    <row r="67" spans="1:20" ht="15" customHeight="1" x14ac:dyDescent="0.25">
      <c r="A67" s="341"/>
      <c r="B67" s="342"/>
      <c r="C67" s="342"/>
      <c r="D67" s="342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4"/>
      <c r="Q67" s="83"/>
      <c r="R67" s="83"/>
      <c r="S67" s="83"/>
    </row>
    <row r="68" spans="1:20" ht="15" customHeight="1" x14ac:dyDescent="0.25">
      <c r="A68" s="361" t="s">
        <v>297</v>
      </c>
      <c r="B68" s="362"/>
      <c r="C68" s="333" t="s">
        <v>291</v>
      </c>
      <c r="D68" s="334"/>
      <c r="E68" s="319">
        <v>1</v>
      </c>
      <c r="F68" s="319">
        <f>1+E68</f>
        <v>2</v>
      </c>
      <c r="G68" s="319">
        <f t="shared" ref="G68:P68" si="8">1+F68</f>
        <v>3</v>
      </c>
      <c r="H68" s="319">
        <f t="shared" si="8"/>
        <v>4</v>
      </c>
      <c r="I68" s="319">
        <f t="shared" si="8"/>
        <v>5</v>
      </c>
      <c r="J68" s="319">
        <f t="shared" si="8"/>
        <v>6</v>
      </c>
      <c r="K68" s="319">
        <f t="shared" si="8"/>
        <v>7</v>
      </c>
      <c r="L68" s="319">
        <f t="shared" si="8"/>
        <v>8</v>
      </c>
      <c r="M68" s="319">
        <f t="shared" si="8"/>
        <v>9</v>
      </c>
      <c r="N68" s="319">
        <f t="shared" si="8"/>
        <v>10</v>
      </c>
      <c r="O68" s="319">
        <f t="shared" si="8"/>
        <v>11</v>
      </c>
      <c r="P68" s="347">
        <f t="shared" si="8"/>
        <v>12</v>
      </c>
      <c r="Q68" s="83"/>
      <c r="R68" s="83"/>
      <c r="S68" s="83"/>
      <c r="T68" s="83"/>
    </row>
    <row r="69" spans="1:20" ht="15" customHeight="1" x14ac:dyDescent="0.25">
      <c r="A69" s="363"/>
      <c r="B69" s="364"/>
      <c r="C69" s="336"/>
      <c r="D69" s="337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60"/>
      <c r="Q69" s="24"/>
      <c r="R69" s="24"/>
      <c r="S69" s="83"/>
      <c r="T69" s="83"/>
    </row>
    <row r="70" spans="1:20" s="96" customFormat="1" ht="15" customHeight="1" x14ac:dyDescent="0.25">
      <c r="A70" s="370">
        <v>16</v>
      </c>
      <c r="B70" s="381" t="s">
        <v>294</v>
      </c>
      <c r="C70" s="382"/>
      <c r="D70" s="248">
        <f>SUM(E70:P70)</f>
        <v>46.918940093941004</v>
      </c>
      <c r="E70" s="243">
        <f t="shared" ref="E70:P70" si="9">(($A$63/$A$6)^$D$61)*E51</f>
        <v>3.7844791276506036</v>
      </c>
      <c r="F70" s="244">
        <f t="shared" si="9"/>
        <v>3.7844791276506036</v>
      </c>
      <c r="G70" s="244">
        <f t="shared" si="9"/>
        <v>3.6984682383858165</v>
      </c>
      <c r="H70" s="244">
        <f t="shared" si="9"/>
        <v>3.6984682383858165</v>
      </c>
      <c r="I70" s="244">
        <f t="shared" si="9"/>
        <v>3.6984682383858165</v>
      </c>
      <c r="J70" s="244">
        <f t="shared" si="9"/>
        <v>3.6124573491210308</v>
      </c>
      <c r="K70" s="244">
        <f t="shared" si="9"/>
        <v>3.6124573491210308</v>
      </c>
      <c r="L70" s="244">
        <f t="shared" si="9"/>
        <v>3.6984682383858165</v>
      </c>
      <c r="M70" s="244">
        <f t="shared" si="9"/>
        <v>3.8704900169153897</v>
      </c>
      <c r="N70" s="244">
        <f t="shared" si="9"/>
        <v>4.2145335739745358</v>
      </c>
      <c r="O70" s="244">
        <f t="shared" si="9"/>
        <v>4.5155716864012883</v>
      </c>
      <c r="P70" s="245">
        <f t="shared" si="9"/>
        <v>4.7305989095632537</v>
      </c>
      <c r="Q70" s="246"/>
      <c r="R70" s="242"/>
      <c r="S70" s="242"/>
      <c r="T70" s="242"/>
    </row>
    <row r="71" spans="1:20" ht="15" customHeight="1" x14ac:dyDescent="0.25">
      <c r="A71" s="371"/>
      <c r="B71" s="381" t="s">
        <v>294</v>
      </c>
      <c r="C71" s="382"/>
      <c r="D71" s="249">
        <f>SUM(E71:P71)</f>
        <v>735.82994342800384</v>
      </c>
      <c r="E71" s="238">
        <f>E70^3</f>
        <v>54.202378302139877</v>
      </c>
      <c r="F71" s="239">
        <f t="shared" ref="F71:P71" si="10">F70^3</f>
        <v>54.202378302139877</v>
      </c>
      <c r="G71" s="239">
        <f t="shared" si="10"/>
        <v>50.590116590770954</v>
      </c>
      <c r="H71" s="239">
        <f t="shared" si="10"/>
        <v>50.590116590770954</v>
      </c>
      <c r="I71" s="239">
        <f t="shared" si="10"/>
        <v>50.590116590770954</v>
      </c>
      <c r="J71" s="239">
        <f t="shared" si="10"/>
        <v>47.142019670935149</v>
      </c>
      <c r="K71" s="239">
        <f t="shared" si="10"/>
        <v>47.142019670935149</v>
      </c>
      <c r="L71" s="239">
        <f t="shared" si="10"/>
        <v>50.590116590770954</v>
      </c>
      <c r="M71" s="239">
        <f t="shared" si="10"/>
        <v>57.982622590891431</v>
      </c>
      <c r="N71" s="239">
        <f t="shared" si="10"/>
        <v>74.859781236716458</v>
      </c>
      <c r="O71" s="239">
        <f t="shared" si="10"/>
        <v>92.074257169795189</v>
      </c>
      <c r="P71" s="240">
        <f t="shared" si="10"/>
        <v>105.86402012136689</v>
      </c>
      <c r="Q71" s="83"/>
      <c r="R71" s="83"/>
      <c r="S71" s="83"/>
    </row>
    <row r="72" spans="1:20" ht="15" customHeight="1" x14ac:dyDescent="0.25">
      <c r="A72" s="349" t="s">
        <v>246</v>
      </c>
      <c r="B72" s="350"/>
      <c r="C72" s="323" t="s">
        <v>291</v>
      </c>
      <c r="D72" s="334"/>
      <c r="E72" s="380">
        <f>1+P68</f>
        <v>13</v>
      </c>
      <c r="F72" s="320">
        <f>1+E72</f>
        <v>14</v>
      </c>
      <c r="G72" s="320">
        <f t="shared" ref="G72:P72" si="11">1+F72</f>
        <v>15</v>
      </c>
      <c r="H72" s="320">
        <f t="shared" si="11"/>
        <v>16</v>
      </c>
      <c r="I72" s="320">
        <f t="shared" si="11"/>
        <v>17</v>
      </c>
      <c r="J72" s="320">
        <f t="shared" si="11"/>
        <v>18</v>
      </c>
      <c r="K72" s="320">
        <f t="shared" si="11"/>
        <v>19</v>
      </c>
      <c r="L72" s="320">
        <f t="shared" si="11"/>
        <v>20</v>
      </c>
      <c r="M72" s="320">
        <f t="shared" si="11"/>
        <v>21</v>
      </c>
      <c r="N72" s="320">
        <f t="shared" si="11"/>
        <v>22</v>
      </c>
      <c r="O72" s="320">
        <f t="shared" si="11"/>
        <v>23</v>
      </c>
      <c r="P72" s="360">
        <f t="shared" si="11"/>
        <v>24</v>
      </c>
      <c r="Q72" s="83"/>
      <c r="R72" s="83"/>
      <c r="S72" s="83"/>
    </row>
    <row r="73" spans="1:20" ht="15" customHeight="1" x14ac:dyDescent="0.25">
      <c r="A73" s="351"/>
      <c r="B73" s="352"/>
      <c r="C73" s="335"/>
      <c r="D73" s="337"/>
      <c r="E73" s="383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48"/>
    </row>
    <row r="74" spans="1:20" ht="15" customHeight="1" x14ac:dyDescent="0.25">
      <c r="A74" s="370">
        <v>16</v>
      </c>
      <c r="B74" s="365" t="s">
        <v>292</v>
      </c>
      <c r="C74" s="366"/>
      <c r="D74" s="247">
        <f>(SUM(E74:P74)+D70)/24</f>
        <v>4.142857832920547</v>
      </c>
      <c r="E74" s="236">
        <f t="shared" ref="E74:P74" si="12">(($A$63/$A$6)^$D$61)*E55</f>
        <v>4.8166097988280399</v>
      </c>
      <c r="F74" s="236">
        <f t="shared" si="12"/>
        <v>4.9026206880928269</v>
      </c>
      <c r="G74" s="236">
        <f t="shared" si="12"/>
        <v>4.9026206880928269</v>
      </c>
      <c r="H74" s="236">
        <f t="shared" si="12"/>
        <v>4.8166097988280399</v>
      </c>
      <c r="I74" s="236">
        <f t="shared" si="12"/>
        <v>4.7305989095632537</v>
      </c>
      <c r="J74" s="236">
        <f t="shared" si="12"/>
        <v>4.5155716864012883</v>
      </c>
      <c r="K74" s="236">
        <f t="shared" si="12"/>
        <v>4.3005444632393219</v>
      </c>
      <c r="L74" s="236">
        <f t="shared" si="12"/>
        <v>4.1285226847097487</v>
      </c>
      <c r="M74" s="236">
        <f t="shared" si="12"/>
        <v>3.9565009061801759</v>
      </c>
      <c r="N74" s="236">
        <f t="shared" si="12"/>
        <v>3.8704900169153897</v>
      </c>
      <c r="O74" s="236">
        <f t="shared" si="12"/>
        <v>3.7844791276506036</v>
      </c>
      <c r="P74" s="237">
        <f t="shared" si="12"/>
        <v>3.7844791276506036</v>
      </c>
    </row>
    <row r="75" spans="1:20" ht="15" customHeight="1" x14ac:dyDescent="0.25">
      <c r="A75" s="371"/>
      <c r="B75" s="368" t="s">
        <v>293</v>
      </c>
      <c r="C75" s="372"/>
      <c r="D75" s="200">
        <f>((SUM(E75:P75)+D71)/24)^(1/3)</f>
        <v>4.1945197583067264</v>
      </c>
      <c r="E75" s="239">
        <f>E74^3</f>
        <v>111.74404662740174</v>
      </c>
      <c r="F75" s="239">
        <f t="shared" ref="F75" si="13">F74^3</f>
        <v>117.83786914101461</v>
      </c>
      <c r="G75" s="239">
        <f t="shared" ref="G75" si="14">G74^3</f>
        <v>117.83786914101461</v>
      </c>
      <c r="H75" s="239">
        <f t="shared" ref="H75" si="15">H74^3</f>
        <v>111.74404662740174</v>
      </c>
      <c r="I75" s="239">
        <f t="shared" ref="I75" si="16">I74^3</f>
        <v>105.86402012136689</v>
      </c>
      <c r="J75" s="239">
        <f t="shared" ref="J75" si="17">J74^3</f>
        <v>92.074257169795189</v>
      </c>
      <c r="K75" s="239">
        <f t="shared" ref="K75" si="18">K74^3</f>
        <v>79.537205200125413</v>
      </c>
      <c r="L75" s="239">
        <f t="shared" ref="L75" si="19">L74^3</f>
        <v>70.369428779938147</v>
      </c>
      <c r="M75" s="239">
        <f t="shared" ref="M75" si="20">M74^3</f>
        <v>61.934667242875243</v>
      </c>
      <c r="N75" s="239">
        <f t="shared" ref="N75" si="21">N74^3</f>
        <v>57.982622590891431</v>
      </c>
      <c r="O75" s="239">
        <f t="shared" ref="O75" si="22">O74^3</f>
        <v>54.202378302139877</v>
      </c>
      <c r="P75" s="240">
        <f t="shared" ref="P75" si="23">P74^3</f>
        <v>54.202378302139877</v>
      </c>
      <c r="Q75" s="357">
        <f>D75/D74</f>
        <v>1.0124701178436915</v>
      </c>
      <c r="R75" s="358"/>
    </row>
    <row r="76" spans="1:20" ht="15" customHeight="1" x14ac:dyDescent="0.25">
      <c r="Q76" s="359">
        <f>Q64*Q75</f>
        <v>1.0244862283435989</v>
      </c>
      <c r="R76" s="359"/>
    </row>
  </sheetData>
  <sheetProtection sheet="1" objects="1" scenarios="1"/>
  <mergeCells count="113">
    <mergeCell ref="O68:O69"/>
    <mergeCell ref="P68:P69"/>
    <mergeCell ref="P72:P73"/>
    <mergeCell ref="A70:A71"/>
    <mergeCell ref="A74:A75"/>
    <mergeCell ref="B70:C70"/>
    <mergeCell ref="B71:C71"/>
    <mergeCell ref="B74:C74"/>
    <mergeCell ref="B75:C75"/>
    <mergeCell ref="K72:K73"/>
    <mergeCell ref="L72:L73"/>
    <mergeCell ref="M72:M73"/>
    <mergeCell ref="N72:N73"/>
    <mergeCell ref="O72:O73"/>
    <mergeCell ref="F72:F73"/>
    <mergeCell ref="G72:G73"/>
    <mergeCell ref="H72:H73"/>
    <mergeCell ref="I72:I73"/>
    <mergeCell ref="J72:J73"/>
    <mergeCell ref="A72:B73"/>
    <mergeCell ref="C72:D73"/>
    <mergeCell ref="E72:E73"/>
    <mergeCell ref="V14:W14"/>
    <mergeCell ref="O13:P13"/>
    <mergeCell ref="A59:P60"/>
    <mergeCell ref="A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P53:P54"/>
    <mergeCell ref="E53:E54"/>
    <mergeCell ref="B52:D52"/>
    <mergeCell ref="J49:J50"/>
    <mergeCell ref="K49:K50"/>
    <mergeCell ref="L49:L50"/>
    <mergeCell ref="G49:G50"/>
    <mergeCell ref="H49:H50"/>
    <mergeCell ref="O61:O62"/>
    <mergeCell ref="P61:P62"/>
    <mergeCell ref="B63:C63"/>
    <mergeCell ref="B64:C64"/>
    <mergeCell ref="A63:A64"/>
    <mergeCell ref="B55:D55"/>
    <mergeCell ref="B56:D56"/>
    <mergeCell ref="C53:D54"/>
    <mergeCell ref="K53:K54"/>
    <mergeCell ref="L53:L54"/>
    <mergeCell ref="M53:M54"/>
    <mergeCell ref="N53:N54"/>
    <mergeCell ref="O53:O54"/>
    <mergeCell ref="F53:F54"/>
    <mergeCell ref="G53:G54"/>
    <mergeCell ref="H53:H54"/>
    <mergeCell ref="I53:I54"/>
    <mergeCell ref="J53:J54"/>
    <mergeCell ref="A53:B54"/>
    <mergeCell ref="Q64:R64"/>
    <mergeCell ref="Q75:R75"/>
    <mergeCell ref="Q76:R76"/>
    <mergeCell ref="L3:L4"/>
    <mergeCell ref="M49:M50"/>
    <mergeCell ref="N49:N50"/>
    <mergeCell ref="O49:O50"/>
    <mergeCell ref="P49:P50"/>
    <mergeCell ref="A66:P67"/>
    <mergeCell ref="A68:B69"/>
    <mergeCell ref="C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A49:B50"/>
    <mergeCell ref="B51:D51"/>
    <mergeCell ref="C49:D50"/>
    <mergeCell ref="I49:I50"/>
    <mergeCell ref="B5:C5"/>
    <mergeCell ref="S1:U3"/>
    <mergeCell ref="M3:M4"/>
    <mergeCell ref="A16:F17"/>
    <mergeCell ref="N3:N4"/>
    <mergeCell ref="O3:O4"/>
    <mergeCell ref="A1:P2"/>
    <mergeCell ref="D3:D4"/>
    <mergeCell ref="E3:E4"/>
    <mergeCell ref="F3:F4"/>
    <mergeCell ref="G3:G4"/>
    <mergeCell ref="H3:H4"/>
    <mergeCell ref="I3:I4"/>
    <mergeCell ref="P3:P4"/>
    <mergeCell ref="J3:J4"/>
    <mergeCell ref="K3:K4"/>
    <mergeCell ref="A3:B4"/>
    <mergeCell ref="C3:C4"/>
    <mergeCell ref="B6:C6"/>
    <mergeCell ref="B7:C7"/>
    <mergeCell ref="A47:P48"/>
    <mergeCell ref="E49:E50"/>
    <mergeCell ref="F49:F50"/>
  </mergeCells>
  <conditionalFormatting sqref="E70:P71 E74:P75 E63:P64 C19:E30 E5:Q7">
    <cfRule type="cellIs" dxfId="3" priority="31" operator="equal">
      <formula>#REF!</formula>
    </cfRule>
  </conditionalFormatting>
  <conditionalFormatting sqref="E70:P70 E74:P74 E63:P63 C19:C30 E5:Q5">
    <cfRule type="cellIs" dxfId="2" priority="28" operator="equal">
      <formula>$D$5</formula>
    </cfRule>
    <cfRule type="cellIs" dxfId="1" priority="29" operator="equal">
      <formula>#REF!</formula>
    </cfRule>
    <cfRule type="cellIs" dxfId="0" priority="30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>
              <from>
                <xdr:col>0</xdr:col>
                <xdr:colOff>114300</xdr:colOff>
                <xdr:row>10</xdr:row>
                <xdr:rowOff>171450</xdr:rowOff>
              </from>
              <to>
                <xdr:col>4</xdr:col>
                <xdr:colOff>219075</xdr:colOff>
                <xdr:row>14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r:id="rId7">
            <anchor moveWithCells="1">
              <from>
                <xdr:col>6</xdr:col>
                <xdr:colOff>161925</xdr:colOff>
                <xdr:row>11</xdr:row>
                <xdr:rowOff>28575</xdr:rowOff>
              </from>
              <to>
                <xdr:col>11</xdr:col>
                <xdr:colOff>66675</xdr:colOff>
                <xdr:row>14</xdr:row>
                <xdr:rowOff>66675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r:id="rId9">
            <anchor moveWithCells="1">
              <from>
                <xdr:col>11</xdr:col>
                <xdr:colOff>57150</xdr:colOff>
                <xdr:row>10</xdr:row>
                <xdr:rowOff>9525</xdr:rowOff>
              </from>
              <to>
                <xdr:col>13</xdr:col>
                <xdr:colOff>428625</xdr:colOff>
                <xdr:row>15</xdr:row>
                <xdr:rowOff>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>
              <from>
                <xdr:col>9</xdr:col>
                <xdr:colOff>66675</xdr:colOff>
                <xdr:row>18</xdr:row>
                <xdr:rowOff>133350</xdr:rowOff>
              </from>
              <to>
                <xdr:col>14</xdr:col>
                <xdr:colOff>19050</xdr:colOff>
                <xdr:row>21</xdr:row>
                <xdr:rowOff>180975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autoPict="0" r:id="rId13">
            <anchor moveWithCells="1">
              <from>
                <xdr:col>11</xdr:col>
                <xdr:colOff>0</xdr:colOff>
                <xdr:row>15</xdr:row>
                <xdr:rowOff>38100</xdr:rowOff>
              </from>
              <to>
                <xdr:col>14</xdr:col>
                <xdr:colOff>47625</xdr:colOff>
                <xdr:row>17</xdr:row>
                <xdr:rowOff>142875</xdr:rowOff>
              </to>
            </anchor>
          </objectPr>
        </oleObject>
      </mc:Choice>
      <mc:Fallback>
        <oleObject progId="Equation.3" shapeId="10245" r:id="rId12"/>
      </mc:Fallback>
    </mc:AlternateContent>
    <mc:AlternateContent xmlns:mc="http://schemas.openxmlformats.org/markup-compatibility/2006">
      <mc:Choice Requires="x14">
        <oleObject progId="Equation.3" shapeId="10246" r:id="rId14">
          <objectPr defaultSize="0" autoPict="0" r:id="rId15">
            <anchor moveWithCells="1">
              <from>
                <xdr:col>6</xdr:col>
                <xdr:colOff>409575</xdr:colOff>
                <xdr:row>23</xdr:row>
                <xdr:rowOff>114300</xdr:rowOff>
              </from>
              <to>
                <xdr:col>10</xdr:col>
                <xdr:colOff>19050</xdr:colOff>
                <xdr:row>25</xdr:row>
                <xdr:rowOff>85725</xdr:rowOff>
              </to>
            </anchor>
          </objectPr>
        </oleObject>
      </mc:Choice>
      <mc:Fallback>
        <oleObject progId="Equation.3" shapeId="10246" r:id="rId14"/>
      </mc:Fallback>
    </mc:AlternateContent>
    <mc:AlternateContent xmlns:mc="http://schemas.openxmlformats.org/markup-compatibility/2006">
      <mc:Choice Requires="x14">
        <oleObject progId="Equation.3" shapeId="10247" r:id="rId16">
          <objectPr defaultSize="0" autoPict="0" r:id="rId17">
            <anchor moveWithCells="1">
              <from>
                <xdr:col>11</xdr:col>
                <xdr:colOff>28575</xdr:colOff>
                <xdr:row>23</xdr:row>
                <xdr:rowOff>95250</xdr:rowOff>
              </from>
              <to>
                <xdr:col>14</xdr:col>
                <xdr:colOff>381000</xdr:colOff>
                <xdr:row>25</xdr:row>
                <xdr:rowOff>66675</xdr:rowOff>
              </to>
            </anchor>
          </objectPr>
        </oleObject>
      </mc:Choice>
      <mc:Fallback>
        <oleObject progId="Equation.3" shapeId="10247" r:id="rId16"/>
      </mc:Fallback>
    </mc:AlternateContent>
    <mc:AlternateContent xmlns:mc="http://schemas.openxmlformats.org/markup-compatibility/2006">
      <mc:Choice Requires="x14">
        <oleObject progId="Equation.3" shapeId="10248" r:id="rId18">
          <objectPr defaultSize="0" autoPict="0" r:id="rId19">
            <anchor moveWithCells="1">
              <from>
                <xdr:col>9</xdr:col>
                <xdr:colOff>247650</xdr:colOff>
                <xdr:row>25</xdr:row>
                <xdr:rowOff>133350</xdr:rowOff>
              </from>
              <to>
                <xdr:col>14</xdr:col>
                <xdr:colOff>9525</xdr:colOff>
                <xdr:row>29</xdr:row>
                <xdr:rowOff>9525</xdr:rowOff>
              </to>
            </anchor>
          </objectPr>
        </oleObject>
      </mc:Choice>
      <mc:Fallback>
        <oleObject progId="Equation.3" shapeId="10248" r:id="rId18"/>
      </mc:Fallback>
    </mc:AlternateContent>
    <mc:AlternateContent xmlns:mc="http://schemas.openxmlformats.org/markup-compatibility/2006">
      <mc:Choice Requires="x14">
        <oleObject progId="Equation.3" shapeId="10249" r:id="rId20">
          <objectPr defaultSize="0" autoPict="0" r:id="rId21">
            <anchor moveWithCells="1">
              <from>
                <xdr:col>6</xdr:col>
                <xdr:colOff>114300</xdr:colOff>
                <xdr:row>33</xdr:row>
                <xdr:rowOff>152400</xdr:rowOff>
              </from>
              <to>
                <xdr:col>9</xdr:col>
                <xdr:colOff>438150</xdr:colOff>
                <xdr:row>35</xdr:row>
                <xdr:rowOff>47625</xdr:rowOff>
              </to>
            </anchor>
          </objectPr>
        </oleObject>
      </mc:Choice>
      <mc:Fallback>
        <oleObject progId="Equation.3" shapeId="10249" r:id="rId20"/>
      </mc:Fallback>
    </mc:AlternateContent>
    <mc:AlternateContent xmlns:mc="http://schemas.openxmlformats.org/markup-compatibility/2006">
      <mc:Choice Requires="x14">
        <oleObject progId="Equation.3" shapeId="10250" r:id="rId22">
          <objectPr defaultSize="0" autoPict="0" r:id="rId23">
            <anchor moveWithCells="1">
              <from>
                <xdr:col>12</xdr:col>
                <xdr:colOff>361950</xdr:colOff>
                <xdr:row>33</xdr:row>
                <xdr:rowOff>180975</xdr:rowOff>
              </from>
              <to>
                <xdr:col>16</xdr:col>
                <xdr:colOff>438150</xdr:colOff>
                <xdr:row>35</xdr:row>
                <xdr:rowOff>19050</xdr:rowOff>
              </to>
            </anchor>
          </objectPr>
        </oleObject>
      </mc:Choice>
      <mc:Fallback>
        <oleObject progId="Equation.3" shapeId="10250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Curvas de carga</vt:lpstr>
      <vt:lpstr>Temperatura del sol</vt:lpstr>
      <vt:lpstr>Función Trabajo</vt:lpstr>
      <vt:lpstr>Combustión hidrocarburos</vt:lpstr>
      <vt:lpstr>Caudal Río Lauca</vt:lpstr>
      <vt:lpstr>Milla naútica</vt:lpstr>
      <vt:lpstr>Velocidad viento según altura</vt:lpstr>
      <vt:lpstr>Velocidad según altura (2)</vt:lpstr>
      <vt:lpstr>ejercicio Casa de Pesca</vt:lpstr>
      <vt:lpstr>Minicentral en canal</vt:lpstr>
      <vt:lpstr>Irradiancia solar</vt:lpstr>
      <vt:lpstr>Betz</vt:lpstr>
      <vt:lpstr>Frecuencia umbral</vt:lpstr>
      <vt:lpstr>'Caudal Río Lauca'!Área_de_impresión</vt:lpstr>
      <vt:lpstr>'ejercicio Casa de Pesca'!Área_de_impresión</vt:lpstr>
      <vt:lpstr>'Velocidad según altura (2)'!Área_de_impresión</vt:lpstr>
      <vt:lpstr>'Velocidad viento según altura'!Área_de_impresión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ErnestoB</dc:creator>
  <cp:lastModifiedBy>hp</cp:lastModifiedBy>
  <cp:lastPrinted>2016-05-22T03:27:45Z</cp:lastPrinted>
  <dcterms:created xsi:type="dcterms:W3CDTF">2012-12-23T14:00:23Z</dcterms:created>
  <dcterms:modified xsi:type="dcterms:W3CDTF">2019-05-13T22:39:28Z</dcterms:modified>
</cp:coreProperties>
</file>